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xgroup.sharepoint.com/sites/Group_Finance/Shared Documents/Consolidation and financial reports/2021/2021-03/Q1 Rapport/"/>
    </mc:Choice>
  </mc:AlternateContent>
  <xr:revisionPtr revIDLastSave="321" documentId="8_{7EE2A788-7640-40E2-A23C-E167D83401B2}" xr6:coauthVersionLast="46" xr6:coauthVersionMax="46" xr10:uidLastSave="{20C16DD7-431D-4DBF-9BE6-01534F1358F6}"/>
  <bookViews>
    <workbookView xWindow="-15" yWindow="-16320" windowWidth="29040" windowHeight="15840" xr2:uid="{7BAA9D0E-F18B-4215-8C04-3D3DE18752A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2" i="1" l="1"/>
  <c r="W50" i="1"/>
  <c r="W42" i="1"/>
  <c r="W40" i="1"/>
  <c r="W28" i="1"/>
  <c r="V28" i="1"/>
  <c r="U28" i="1"/>
  <c r="T28" i="1"/>
  <c r="V53" i="1"/>
  <c r="AC53" i="1"/>
  <c r="AC50" i="1"/>
  <c r="AC47" i="1"/>
  <c r="AC42" i="1"/>
  <c r="AC41" i="1"/>
  <c r="AC43" i="1" s="1"/>
  <c r="AC35" i="1"/>
  <c r="AC25" i="1"/>
  <c r="AC28" i="1" s="1"/>
  <c r="AC18" i="1"/>
  <c r="AC8" i="1"/>
  <c r="AC10" i="1"/>
  <c r="AC9" i="1"/>
  <c r="AC7" i="1"/>
  <c r="V62" i="1"/>
  <c r="V50" i="1"/>
  <c r="K24" i="1"/>
  <c r="AC11" i="1" l="1"/>
  <c r="S28" i="1"/>
  <c r="S42" i="1"/>
  <c r="S40" i="1"/>
  <c r="AB10" i="1" l="1"/>
  <c r="AB42" i="1"/>
  <c r="AB40" i="1"/>
  <c r="AB28" i="1"/>
  <c r="R42" i="1"/>
  <c r="R40" i="1"/>
  <c r="R28" i="1"/>
  <c r="Q28" i="1" l="1"/>
  <c r="Q62" i="1"/>
  <c r="P63" i="1" l="1"/>
  <c r="O63" i="1"/>
  <c r="N63" i="1"/>
  <c r="M63" i="1"/>
  <c r="L63" i="1"/>
  <c r="K63" i="1"/>
  <c r="J63" i="1"/>
  <c r="I63" i="1"/>
  <c r="H63" i="1"/>
  <c r="G63" i="1"/>
  <c r="P44" i="1"/>
  <c r="P42" i="1"/>
  <c r="P40" i="1"/>
  <c r="P51" i="1"/>
  <c r="P50" i="1"/>
  <c r="P49" i="1"/>
  <c r="P28" i="1"/>
  <c r="Z52" i="1"/>
  <c r="AA49" i="1" l="1"/>
  <c r="Z49" i="1"/>
  <c r="O49" i="1"/>
  <c r="N49" i="1"/>
  <c r="M49" i="1"/>
  <c r="L49" i="1"/>
  <c r="K49" i="1"/>
  <c r="J49" i="1"/>
  <c r="I49" i="1"/>
  <c r="H49" i="1"/>
  <c r="G49" i="1"/>
  <c r="AA51" i="1"/>
  <c r="Z51" i="1"/>
  <c r="O51" i="1"/>
  <c r="N51" i="1"/>
  <c r="M51" i="1"/>
  <c r="L51" i="1"/>
  <c r="K51" i="1"/>
  <c r="J51" i="1"/>
  <c r="I51" i="1"/>
  <c r="H51" i="1"/>
  <c r="O50" i="1"/>
  <c r="G51" i="1"/>
  <c r="B50" i="1"/>
  <c r="AA52" i="1"/>
  <c r="O44" i="1"/>
  <c r="O42" i="1"/>
  <c r="O40" i="1"/>
  <c r="O28" i="1"/>
  <c r="O34" i="1"/>
  <c r="O17" i="1"/>
  <c r="O10" i="1"/>
  <c r="AA34" i="1"/>
  <c r="Z34" i="1"/>
  <c r="Y34" i="1"/>
  <c r="N34" i="1"/>
  <c r="M34" i="1"/>
  <c r="L34" i="1"/>
  <c r="K34" i="1"/>
  <c r="J34" i="1"/>
  <c r="I34" i="1"/>
  <c r="H34" i="1"/>
  <c r="G34" i="1"/>
  <c r="F34" i="1"/>
  <c r="E34" i="1"/>
  <c r="D34" i="1"/>
  <c r="C34" i="1"/>
  <c r="N17" i="1"/>
  <c r="M17" i="1"/>
  <c r="L17" i="1"/>
  <c r="J17" i="1"/>
  <c r="I17" i="1"/>
  <c r="H17" i="1"/>
  <c r="G17" i="1"/>
  <c r="F17" i="1"/>
  <c r="E17" i="1"/>
  <c r="D17" i="1"/>
  <c r="C17" i="1"/>
  <c r="AA17" i="1"/>
  <c r="Z17" i="1"/>
  <c r="Y17" i="1"/>
  <c r="AA10" i="1"/>
  <c r="N10" i="1"/>
  <c r="M10" i="1"/>
  <c r="L10" i="1"/>
  <c r="K10" i="1"/>
  <c r="J10" i="1"/>
  <c r="I10" i="1"/>
  <c r="H10" i="1"/>
  <c r="G10" i="1"/>
  <c r="F10" i="1"/>
  <c r="E10" i="1"/>
  <c r="D10" i="1"/>
  <c r="C10" i="1"/>
  <c r="O53" i="1" l="1"/>
  <c r="C28" i="1"/>
  <c r="D28" i="1"/>
  <c r="E28" i="1"/>
  <c r="F28" i="1"/>
  <c r="C27" i="1"/>
  <c r="D27" i="1"/>
  <c r="E27" i="1"/>
  <c r="F27" i="1"/>
  <c r="N28" i="1" l="1"/>
  <c r="M28" i="1"/>
  <c r="L28" i="1"/>
  <c r="AA28" i="1"/>
  <c r="Y28" i="1"/>
  <c r="J28" i="1"/>
  <c r="I28" i="1"/>
  <c r="H28" i="1"/>
  <c r="G28" i="1"/>
  <c r="G44" i="1"/>
  <c r="J44" i="1"/>
  <c r="I44" i="1"/>
  <c r="H44" i="1"/>
  <c r="J42" i="1"/>
  <c r="I42" i="1"/>
  <c r="H42" i="1"/>
  <c r="G42" i="1"/>
  <c r="J40" i="1"/>
  <c r="I40" i="1"/>
  <c r="H40" i="1"/>
  <c r="G40" i="1"/>
  <c r="J37" i="1"/>
  <c r="I37" i="1"/>
  <c r="H37" i="1"/>
  <c r="G37" i="1"/>
  <c r="J27" i="1"/>
  <c r="J50" i="1" s="1"/>
  <c r="J53" i="1" s="1"/>
  <c r="I27" i="1"/>
  <c r="I50" i="1" s="1"/>
  <c r="I53" i="1" s="1"/>
  <c r="H27" i="1"/>
  <c r="H50" i="1" s="1"/>
  <c r="H53" i="1" s="1"/>
  <c r="G27" i="1"/>
  <c r="G50" i="1" s="1"/>
  <c r="G53" i="1" s="1"/>
  <c r="Y9" i="1"/>
  <c r="Y10" i="1" s="1"/>
  <c r="Y27" i="1"/>
  <c r="Y37" i="1"/>
  <c r="Y40" i="1"/>
  <c r="Z40" i="1"/>
  <c r="Y42" i="1"/>
  <c r="Y44" i="1"/>
  <c r="Z44" i="1"/>
  <c r="Z42" i="1"/>
  <c r="AA37" i="1"/>
  <c r="Z37" i="1"/>
  <c r="N37" i="1"/>
  <c r="M37" i="1"/>
  <c r="L37" i="1"/>
  <c r="K37" i="1"/>
  <c r="Z8" i="1"/>
  <c r="Z9" i="1"/>
  <c r="Z25" i="1"/>
  <c r="K27" i="1"/>
  <c r="K50" i="1" s="1"/>
  <c r="K53" i="1" s="1"/>
  <c r="K18" i="1"/>
  <c r="K17" i="1" s="1"/>
  <c r="K44" i="1"/>
  <c r="K42" i="1"/>
  <c r="K40" i="1"/>
  <c r="AA44" i="1"/>
  <c r="N44" i="1"/>
  <c r="M44" i="1"/>
  <c r="L44" i="1"/>
  <c r="AA42" i="1"/>
  <c r="N42" i="1"/>
  <c r="M42" i="1"/>
  <c r="AA40" i="1"/>
  <c r="N40" i="1"/>
  <c r="M40" i="1"/>
  <c r="Z10" i="1" l="1"/>
  <c r="Z28" i="1"/>
  <c r="K28" i="1"/>
  <c r="Z27" i="1"/>
  <c r="Z50" i="1" s="1"/>
  <c r="Z53" i="1" s="1"/>
  <c r="AA27" i="1" l="1"/>
  <c r="AA50" i="1" s="1"/>
  <c r="AA53" i="1" s="1"/>
  <c r="N27" i="1"/>
  <c r="N50" i="1" s="1"/>
  <c r="N53" i="1" s="1"/>
  <c r="M27" i="1"/>
  <c r="M50" i="1" s="1"/>
  <c r="M53" i="1" s="1"/>
  <c r="L27" i="1"/>
  <c r="L50" i="1" s="1"/>
  <c r="L53" i="1" s="1"/>
  <c r="L40" i="1" l="1"/>
  <c r="L42" i="1"/>
</calcChain>
</file>

<file path=xl/sharedStrings.xml><?xml version="1.0" encoding="utf-8"?>
<sst xmlns="http://schemas.openxmlformats.org/spreadsheetml/2006/main" count="74" uniqueCount="54">
  <si>
    <t>SEKm</t>
  </si>
  <si>
    <t>Q116</t>
  </si>
  <si>
    <t>Q216</t>
  </si>
  <si>
    <t>Q316</t>
  </si>
  <si>
    <t>Q416</t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</si>
  <si>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</si>
  <si>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</si>
  <si>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</si>
  <si>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</si>
  <si>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</si>
  <si>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</si>
  <si>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</si>
  <si>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</si>
  <si>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</si>
  <si>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</si>
  <si>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</si>
  <si>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</si>
  <si>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</si>
  <si>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</si>
  <si>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</si>
  <si>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</si>
  <si>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Net sales</t>
  </si>
  <si>
    <t>Messaging</t>
  </si>
  <si>
    <t>Voice and Video</t>
  </si>
  <si>
    <t>Operators</t>
  </si>
  <si>
    <t>Other</t>
  </si>
  <si>
    <t>Total</t>
  </si>
  <si>
    <t>Gross profit</t>
  </si>
  <si>
    <t>Adjusted EBITDA</t>
  </si>
  <si>
    <t>One-offs in EBITDA</t>
  </si>
  <si>
    <t>Opex excl. one-offs</t>
  </si>
  <si>
    <t>EBITDA</t>
  </si>
  <si>
    <t>Depr, amortization</t>
  </si>
  <si>
    <t>Impairments</t>
  </si>
  <si>
    <t>EBIT</t>
  </si>
  <si>
    <t>Net financials</t>
  </si>
  <si>
    <t>Profit before tax</t>
  </si>
  <si>
    <t>Tax</t>
  </si>
  <si>
    <t>Net income</t>
  </si>
  <si>
    <t>of which non-controlling</t>
  </si>
  <si>
    <t>of which shareholders</t>
  </si>
  <si>
    <t>Amortization of acquisition related assets</t>
  </si>
  <si>
    <t>Adjusted EBIT</t>
  </si>
  <si>
    <t>Paid interest</t>
  </si>
  <si>
    <t>Paid taxes</t>
  </si>
  <si>
    <t>Cash flow before changes in 
working capital</t>
  </si>
  <si>
    <t>Average number of employees</t>
  </si>
  <si>
    <t>Average number of consultants</t>
  </si>
  <si>
    <t>Thomas Heath</t>
  </si>
  <si>
    <t>Chief Strategy Officer and Head of Investor Relations</t>
  </si>
  <si>
    <t>+46 722 455055</t>
  </si>
  <si>
    <t>thomas.heath@sinch.com</t>
  </si>
  <si>
    <t>Net debt (+) /Net cash (-)</t>
  </si>
  <si>
    <t>Q121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</si>
</sst>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3" fontId="0" fillId="0" borderId="0" xfId="0" applyNumberFormat="1"/>
    <xf numFmtId="0" fontId="0" fillId="0" borderId="0" xfId="0" applyFont="1"/>
    <xf numFmtId="164" fontId="1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1" fillId="0" borderId="0" xfId="0" applyNumberFormat="1" applyFont="1" applyFill="1"/>
    <xf numFmtId="164" fontId="0" fillId="0" borderId="0" xfId="0" applyNumberFormat="1" applyFill="1"/>
    <xf numFmtId="0" fontId="1" fillId="0" borderId="0" xfId="0" applyFont="1" applyFill="1"/>
    <xf numFmtId="0" fontId="0" fillId="0" borderId="0" xfId="0" quotePrefix="1"/>
    <xf numFmtId="0" fontId="3" fillId="0" borderId="0" xfId="1"/>
    <xf numFmtId="165" fontId="0" fillId="0" borderId="0" xfId="0" applyNumberFormat="1"/>
    <xf numFmtId="3" fontId="1" fillId="0" borderId="0" xfId="0" applyNumberFormat="1" applyFont="1"/>
    <xf numFmtId="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1252697</xdr:colOff>
      <xdr:row>2</xdr:row>
      <xdr:rowOff>156787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27860F-DA37-4708-8E76-57BD60274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76200"/>
          <a:ext cx="1266667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omas.heath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BEAC-DCE5-4CF2-AC02-9164C2AD4A11}">
  <dimension ref="A4:XEZ71"/>
  <sheetViews>
    <sheetView showGridLines="0" tabSelected="1" zoomScale="80" zoomScaleNormal="80" workbookViewId="0">
      <pane xSplit="2" ySplit="6" topLeftCell="L37" activePane="bottomRight" state="frozen"/>
      <selection pane="topRight" activeCell="C1" sqref="C1"/>
      <selection pane="bottomLeft" activeCell="A7" sqref="A7"/>
      <selection pane="bottomRight" activeCell="AG20" sqref="AG20"/>
    </sheetView>
  </sheetViews>
  <sheetFormatPr defaultRowHeight="15" x14ac:dyDescent="0.25"/>
  <cols>
    <col min="1" max="1" width="3.5703125" customWidth="1"/>
    <col min="2" max="2" width="32.28515625" customWidth="1"/>
    <col min="3" max="12" width="9.140625" customWidth="1"/>
  </cols>
  <sheetData>
    <row r="4" spans="2:16380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53</v>
      </c>
      <c r="X4" s="1"/>
      <c r="Y4" s="2">
        <v>2016</v>
      </c>
      <c r="Z4" s="2">
        <v>2017</v>
      </c>
      <c r="AA4" s="2">
        <v>2018</v>
      </c>
      <c r="AB4" s="2">
        <v>2019</v>
      </c>
      <c r="AC4" s="2">
        <v>2020</v>
      </c>
    </row>
    <row r="6" spans="2:16380" x14ac:dyDescent="0.25">
      <c r="B6" s="3" t="s">
        <v>21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2:16380" x14ac:dyDescent="0.25">
      <c r="B7" t="s">
        <v>22</v>
      </c>
      <c r="C7" s="7">
        <v>230.2</v>
      </c>
      <c r="D7" s="7">
        <v>256.60000000000002</v>
      </c>
      <c r="E7" s="7">
        <v>552.79999999999995</v>
      </c>
      <c r="F7" s="7">
        <v>619.1</v>
      </c>
      <c r="G7" s="7">
        <v>566.4</v>
      </c>
      <c r="H7" s="7">
        <v>696.7</v>
      </c>
      <c r="I7" s="7">
        <v>726.2</v>
      </c>
      <c r="J7" s="7">
        <v>857.9</v>
      </c>
      <c r="K7" s="7">
        <v>812.4</v>
      </c>
      <c r="L7" s="7">
        <v>947.7</v>
      </c>
      <c r="M7" s="7">
        <v>921.8</v>
      </c>
      <c r="N7" s="7">
        <v>1070.3</v>
      </c>
      <c r="O7" s="7">
        <v>1025.3</v>
      </c>
      <c r="P7" s="7">
        <v>1096.721</v>
      </c>
      <c r="Q7" s="7">
        <v>1126.2</v>
      </c>
      <c r="R7" s="7">
        <v>1444.2</v>
      </c>
      <c r="S7" s="7">
        <v>1534.3</v>
      </c>
      <c r="T7" s="7">
        <v>1562</v>
      </c>
      <c r="U7" s="7">
        <v>1718.1</v>
      </c>
      <c r="V7" s="7">
        <v>2767.6</v>
      </c>
      <c r="W7" s="7">
        <v>3083</v>
      </c>
      <c r="X7" s="7"/>
      <c r="Y7" s="7">
        <v>1658.6999999999998</v>
      </c>
      <c r="Z7" s="7">
        <v>2847.2000000000003</v>
      </c>
      <c r="AA7" s="7">
        <v>3752.4</v>
      </c>
      <c r="AB7" s="7">
        <v>4692.5</v>
      </c>
      <c r="AC7" s="7">
        <f>7466.1+115.9</f>
        <v>7582</v>
      </c>
    </row>
    <row r="8" spans="2:16380" x14ac:dyDescent="0.25">
      <c r="B8" t="s">
        <v>23</v>
      </c>
      <c r="C8" s="7"/>
      <c r="D8" s="7"/>
      <c r="E8" s="7"/>
      <c r="F8" s="7">
        <v>1.4</v>
      </c>
      <c r="G8" s="7">
        <v>11.4</v>
      </c>
      <c r="H8" s="7">
        <v>10.8</v>
      </c>
      <c r="I8" s="7">
        <v>12.7</v>
      </c>
      <c r="J8" s="7">
        <v>15.3</v>
      </c>
      <c r="K8" s="7">
        <v>15</v>
      </c>
      <c r="L8" s="7">
        <v>17.8</v>
      </c>
      <c r="M8" s="7">
        <v>20.5</v>
      </c>
      <c r="N8" s="7">
        <v>38.200000000000003</v>
      </c>
      <c r="O8" s="7">
        <v>45</v>
      </c>
      <c r="P8" s="7">
        <v>56.938000000000002</v>
      </c>
      <c r="Q8" s="7">
        <v>70</v>
      </c>
      <c r="R8" s="7">
        <v>76.900000000000006</v>
      </c>
      <c r="S8" s="7">
        <v>72.5</v>
      </c>
      <c r="T8" s="7">
        <v>53.9</v>
      </c>
      <c r="U8" s="7">
        <v>60.9</v>
      </c>
      <c r="V8" s="7">
        <v>78.3</v>
      </c>
      <c r="W8" s="7">
        <v>96.8</v>
      </c>
      <c r="X8" s="7"/>
      <c r="Y8" s="7">
        <v>1.4</v>
      </c>
      <c r="Z8" s="7">
        <f>50+0.2</f>
        <v>50.2</v>
      </c>
      <c r="AA8" s="7">
        <v>91.4</v>
      </c>
      <c r="AB8" s="7">
        <v>248.8</v>
      </c>
      <c r="AC8" s="7">
        <f>243.1+22.4</f>
        <v>265.5</v>
      </c>
    </row>
    <row r="9" spans="2:16380" x14ac:dyDescent="0.25">
      <c r="B9" t="s">
        <v>24</v>
      </c>
      <c r="C9" s="7">
        <v>37.9</v>
      </c>
      <c r="D9" s="7">
        <v>38.200000000000003</v>
      </c>
      <c r="E9" s="7">
        <v>37.799999999999997</v>
      </c>
      <c r="F9" s="7">
        <v>50</v>
      </c>
      <c r="G9" s="7">
        <v>45.6</v>
      </c>
      <c r="H9" s="7">
        <v>40.700000000000003</v>
      </c>
      <c r="I9" s="7">
        <v>44</v>
      </c>
      <c r="J9" s="7">
        <v>38.299999999999997</v>
      </c>
      <c r="K9" s="7">
        <v>33.200000000000003</v>
      </c>
      <c r="L9" s="7">
        <v>33.6</v>
      </c>
      <c r="M9" s="7">
        <v>39.5</v>
      </c>
      <c r="N9" s="7">
        <v>50.6</v>
      </c>
      <c r="O9" s="7">
        <v>43.4</v>
      </c>
      <c r="P9" s="7">
        <v>44.207999999999998</v>
      </c>
      <c r="Q9" s="7">
        <v>42</v>
      </c>
      <c r="R9" s="7">
        <v>43.7</v>
      </c>
      <c r="S9" s="7">
        <v>49.1</v>
      </c>
      <c r="T9" s="7">
        <v>39</v>
      </c>
      <c r="U9" s="7">
        <v>39.700000000000003</v>
      </c>
      <c r="V9" s="7">
        <v>189.3</v>
      </c>
      <c r="W9" s="7">
        <v>224.1</v>
      </c>
      <c r="X9" s="7"/>
      <c r="Y9" s="7">
        <f>157.3+6.5</f>
        <v>163.80000000000001</v>
      </c>
      <c r="Z9" s="7">
        <f>163.2+5.5</f>
        <v>168.7</v>
      </c>
      <c r="AA9" s="7">
        <v>156.80000000000001</v>
      </c>
      <c r="AB9" s="7">
        <v>173.3</v>
      </c>
      <c r="AC9" s="7">
        <f>292+25.1</f>
        <v>317.10000000000002</v>
      </c>
    </row>
    <row r="10" spans="2:16380" x14ac:dyDescent="0.25">
      <c r="B10" t="s">
        <v>25</v>
      </c>
      <c r="C10" s="7">
        <f>C11-SUM(C7:C9)</f>
        <v>-0.89999999999997726</v>
      </c>
      <c r="D10" s="7">
        <f t="shared" ref="D10:O10" si="0">D11-SUM(D7:D9)</f>
        <v>-4.5</v>
      </c>
      <c r="E10" s="7">
        <f t="shared" si="0"/>
        <v>-0.39999999999986358</v>
      </c>
      <c r="F10" s="7">
        <f t="shared" si="0"/>
        <v>-0.89999999999997726</v>
      </c>
      <c r="G10" s="7">
        <f t="shared" si="0"/>
        <v>-1.1999999999999318</v>
      </c>
      <c r="H10" s="7">
        <f t="shared" si="0"/>
        <v>-3</v>
      </c>
      <c r="I10" s="7">
        <f t="shared" si="0"/>
        <v>-1.5000000000001137</v>
      </c>
      <c r="J10" s="7">
        <f t="shared" si="0"/>
        <v>-2.1999999999999318</v>
      </c>
      <c r="K10" s="7">
        <f t="shared" si="0"/>
        <v>-2</v>
      </c>
      <c r="L10" s="7">
        <f t="shared" si="0"/>
        <v>-1.7000000000000455</v>
      </c>
      <c r="M10" s="7">
        <f t="shared" si="0"/>
        <v>-2.5</v>
      </c>
      <c r="N10" s="7">
        <f t="shared" si="0"/>
        <v>-7.7999999999999545</v>
      </c>
      <c r="O10" s="7">
        <f t="shared" si="0"/>
        <v>-11.900000000000091</v>
      </c>
      <c r="P10" s="7">
        <v>-21.216000000000122</v>
      </c>
      <c r="Q10" s="7">
        <v>-21.8</v>
      </c>
      <c r="R10" s="7">
        <v>-24.2</v>
      </c>
      <c r="S10" s="7">
        <v>-31.7</v>
      </c>
      <c r="T10" s="7">
        <v>-33</v>
      </c>
      <c r="U10" s="7">
        <v>-40.9</v>
      </c>
      <c r="V10" s="7">
        <v>-35.6</v>
      </c>
      <c r="W10" s="7">
        <v>-54.1</v>
      </c>
      <c r="X10" s="7"/>
      <c r="Y10" s="7">
        <f t="shared" ref="Y10:AA10" si="1">Y11-SUM(Y7:Y9)</f>
        <v>-6.5999999999999091</v>
      </c>
      <c r="Z10" s="7">
        <f t="shared" si="1"/>
        <v>-8</v>
      </c>
      <c r="AA10" s="7">
        <f t="shared" si="1"/>
        <v>-14.000000000000455</v>
      </c>
      <c r="AB10" s="7">
        <f>ROUND(AB11-AB9-AB8-AB7,1)</f>
        <v>-79</v>
      </c>
      <c r="AC10" s="7">
        <f>22.1-163.3</f>
        <v>-141.20000000000002</v>
      </c>
    </row>
    <row r="11" spans="2:16380" x14ac:dyDescent="0.25">
      <c r="B11" s="3" t="s">
        <v>26</v>
      </c>
      <c r="C11" s="6">
        <v>267.2</v>
      </c>
      <c r="D11" s="6">
        <v>290.3</v>
      </c>
      <c r="E11" s="6">
        <v>590.20000000000005</v>
      </c>
      <c r="F11" s="6">
        <v>669.6</v>
      </c>
      <c r="G11" s="6">
        <v>622.20000000000005</v>
      </c>
      <c r="H11" s="6">
        <v>745.2</v>
      </c>
      <c r="I11" s="6">
        <v>781.4</v>
      </c>
      <c r="J11" s="6">
        <v>909.3</v>
      </c>
      <c r="K11" s="6">
        <v>858.6</v>
      </c>
      <c r="L11" s="6">
        <v>997.4</v>
      </c>
      <c r="M11" s="6">
        <v>979.3</v>
      </c>
      <c r="N11" s="6">
        <v>1151.3</v>
      </c>
      <c r="O11" s="6">
        <v>1101.8</v>
      </c>
      <c r="P11" s="6">
        <v>1176.6510000000001</v>
      </c>
      <c r="Q11" s="6">
        <v>1216.4000000000001</v>
      </c>
      <c r="R11" s="6">
        <v>1540.7</v>
      </c>
      <c r="S11" s="6">
        <v>1624.2</v>
      </c>
      <c r="T11" s="6">
        <v>1621.9</v>
      </c>
      <c r="U11" s="6">
        <v>1777.7</v>
      </c>
      <c r="V11" s="6">
        <v>2999.5</v>
      </c>
      <c r="W11" s="6">
        <v>3349.9</v>
      </c>
      <c r="X11" s="6"/>
      <c r="Y11" s="6">
        <v>1817.3</v>
      </c>
      <c r="Z11" s="6">
        <v>3058.1</v>
      </c>
      <c r="AA11" s="6">
        <v>3986.6</v>
      </c>
      <c r="AB11" s="6">
        <v>5035.6000000000004</v>
      </c>
      <c r="AC11" s="6">
        <f>SUM(AC7:AC10)-0.1</f>
        <v>8023.3</v>
      </c>
    </row>
    <row r="12" spans="2:16380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2:16380" x14ac:dyDescent="0.25">
      <c r="B13" s="3" t="s">
        <v>27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</row>
    <row r="14" spans="2:16380" x14ac:dyDescent="0.25">
      <c r="B14" t="s">
        <v>22</v>
      </c>
      <c r="C14" s="7">
        <v>32.5</v>
      </c>
      <c r="D14" s="7">
        <v>32.5</v>
      </c>
      <c r="E14" s="7">
        <v>130.80000000000001</v>
      </c>
      <c r="F14" s="7">
        <v>142.19999999999999</v>
      </c>
      <c r="G14" s="7">
        <v>139.6</v>
      </c>
      <c r="H14" s="7">
        <v>149.80000000000001</v>
      </c>
      <c r="I14" s="7">
        <v>148</v>
      </c>
      <c r="J14" s="7">
        <v>162.4</v>
      </c>
      <c r="K14" s="7">
        <v>161.5</v>
      </c>
      <c r="L14" s="7">
        <v>207.5</v>
      </c>
      <c r="M14" s="7">
        <v>203.7</v>
      </c>
      <c r="N14" s="7">
        <v>244.60000000000002</v>
      </c>
      <c r="O14" s="7">
        <v>228.4</v>
      </c>
      <c r="P14" s="7">
        <v>259.16000000000003</v>
      </c>
      <c r="Q14" s="7">
        <v>272.8</v>
      </c>
      <c r="R14" s="7">
        <v>364</v>
      </c>
      <c r="S14" s="7">
        <v>374.3</v>
      </c>
      <c r="T14" s="7">
        <v>412.2</v>
      </c>
      <c r="U14" s="7">
        <v>429</v>
      </c>
      <c r="V14" s="7">
        <v>668.5</v>
      </c>
      <c r="W14" s="7">
        <v>691.1</v>
      </c>
      <c r="X14" s="7"/>
      <c r="Y14" s="7">
        <v>336.3</v>
      </c>
      <c r="Z14" s="7">
        <v>599.79999999999995</v>
      </c>
      <c r="AA14" s="7">
        <v>817.30000000000007</v>
      </c>
      <c r="AB14" s="7">
        <v>1124.4000000000001</v>
      </c>
      <c r="AC14" s="7">
        <v>1883.9</v>
      </c>
      <c r="AD14" s="16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</row>
    <row r="15" spans="2:16380" x14ac:dyDescent="0.25">
      <c r="B15" t="s">
        <v>23</v>
      </c>
      <c r="C15" s="7"/>
      <c r="D15" s="7"/>
      <c r="E15" s="7"/>
      <c r="F15" s="7">
        <v>0.9</v>
      </c>
      <c r="G15" s="7">
        <v>8.9</v>
      </c>
      <c r="H15" s="7">
        <v>8.4</v>
      </c>
      <c r="I15" s="7">
        <v>9.5</v>
      </c>
      <c r="J15" s="7">
        <v>9.5</v>
      </c>
      <c r="K15" s="7">
        <v>8.8000000000000007</v>
      </c>
      <c r="L15" s="7">
        <v>10.1</v>
      </c>
      <c r="M15" s="7">
        <v>11.6</v>
      </c>
      <c r="N15" s="7">
        <v>20</v>
      </c>
      <c r="O15" s="7">
        <v>21.6</v>
      </c>
      <c r="P15" s="7">
        <v>21.748999999999999</v>
      </c>
      <c r="Q15" s="7">
        <v>31.7</v>
      </c>
      <c r="R15" s="7">
        <v>34.5</v>
      </c>
      <c r="S15" s="7">
        <v>26.8</v>
      </c>
      <c r="T15" s="7">
        <v>13</v>
      </c>
      <c r="U15" s="7">
        <v>14.6</v>
      </c>
      <c r="V15" s="7">
        <v>23</v>
      </c>
      <c r="W15" s="7">
        <v>13.5</v>
      </c>
      <c r="X15" s="7"/>
      <c r="Y15" s="7">
        <v>0.9</v>
      </c>
      <c r="Z15" s="7">
        <v>36.299999999999997</v>
      </c>
      <c r="AA15" s="7">
        <v>50.5</v>
      </c>
      <c r="AB15" s="7">
        <v>109.5</v>
      </c>
      <c r="AC15" s="7">
        <v>77.3</v>
      </c>
    </row>
    <row r="16" spans="2:16380" x14ac:dyDescent="0.25">
      <c r="B16" t="s">
        <v>24</v>
      </c>
      <c r="C16" s="7">
        <v>34.6</v>
      </c>
      <c r="D16" s="7">
        <v>31.8</v>
      </c>
      <c r="E16" s="7">
        <v>34.1</v>
      </c>
      <c r="F16" s="7">
        <v>46.9</v>
      </c>
      <c r="G16" s="7">
        <v>42.7</v>
      </c>
      <c r="H16" s="7">
        <v>34</v>
      </c>
      <c r="I16" s="7">
        <v>39.1</v>
      </c>
      <c r="J16" s="7">
        <v>28</v>
      </c>
      <c r="K16" s="7">
        <v>29.7</v>
      </c>
      <c r="L16" s="7">
        <v>30.8</v>
      </c>
      <c r="M16" s="7">
        <v>35</v>
      </c>
      <c r="N16" s="7">
        <v>45.2</v>
      </c>
      <c r="O16" s="7">
        <v>39.6</v>
      </c>
      <c r="P16" s="7">
        <v>40.18</v>
      </c>
      <c r="Q16" s="7">
        <v>39.1</v>
      </c>
      <c r="R16" s="7">
        <v>41.4</v>
      </c>
      <c r="S16" s="7">
        <v>45.7</v>
      </c>
      <c r="T16" s="7">
        <v>35</v>
      </c>
      <c r="U16" s="7">
        <v>37.1</v>
      </c>
      <c r="V16" s="7">
        <v>82.3</v>
      </c>
      <c r="W16" s="7">
        <v>87.4</v>
      </c>
      <c r="X16" s="7"/>
      <c r="Y16" s="7">
        <v>147.4</v>
      </c>
      <c r="Z16" s="7">
        <v>144</v>
      </c>
      <c r="AA16" s="7">
        <v>140.6</v>
      </c>
      <c r="AB16" s="7">
        <v>160.19999999999999</v>
      </c>
      <c r="AC16" s="7">
        <v>200</v>
      </c>
    </row>
    <row r="17" spans="2:32" x14ac:dyDescent="0.25">
      <c r="B17" t="s">
        <v>25</v>
      </c>
      <c r="C17" s="7">
        <f t="shared" ref="C17:O17" si="2">C18-SUM(C14:C16)</f>
        <v>0.10000000000000853</v>
      </c>
      <c r="D17" s="7">
        <f t="shared" si="2"/>
        <v>0.10000000000000853</v>
      </c>
      <c r="E17" s="7">
        <f t="shared" si="2"/>
        <v>0</v>
      </c>
      <c r="F17" s="7">
        <f t="shared" si="2"/>
        <v>-0.59999999999999432</v>
      </c>
      <c r="G17" s="7">
        <f t="shared" si="2"/>
        <v>0.10000000000002274</v>
      </c>
      <c r="H17" s="7">
        <f t="shared" si="2"/>
        <v>-1.5000000000000284</v>
      </c>
      <c r="I17" s="7">
        <f t="shared" si="2"/>
        <v>1.5</v>
      </c>
      <c r="J17" s="7">
        <f t="shared" si="2"/>
        <v>-9.9999999999994316E-2</v>
      </c>
      <c r="K17" s="7">
        <f t="shared" si="2"/>
        <v>0</v>
      </c>
      <c r="L17" s="7">
        <f t="shared" si="2"/>
        <v>0.19999999999998863</v>
      </c>
      <c r="M17" s="7">
        <f t="shared" si="2"/>
        <v>-0.39999999999997726</v>
      </c>
      <c r="N17" s="7">
        <f t="shared" si="2"/>
        <v>9.9999999999965894E-2</v>
      </c>
      <c r="O17" s="7">
        <f t="shared" si="2"/>
        <v>-0.10000000000002274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21.9</v>
      </c>
      <c r="W17" s="7">
        <v>28</v>
      </c>
      <c r="X17" s="7"/>
      <c r="Y17" s="7">
        <f t="shared" ref="Y17:AA17" si="3">Y18-SUM(Y14:Y16)</f>
        <v>1.2999999999999545</v>
      </c>
      <c r="Z17" s="7">
        <f t="shared" si="3"/>
        <v>-9.9999999999909051E-2</v>
      </c>
      <c r="AA17" s="7">
        <f t="shared" si="3"/>
        <v>0</v>
      </c>
      <c r="AB17" s="7">
        <v>0</v>
      </c>
      <c r="AC17" s="7">
        <v>21.9</v>
      </c>
    </row>
    <row r="18" spans="2:32" x14ac:dyDescent="0.25">
      <c r="B18" s="3" t="s">
        <v>26</v>
      </c>
      <c r="C18" s="9">
        <v>67.2</v>
      </c>
      <c r="D18" s="9">
        <v>64.400000000000006</v>
      </c>
      <c r="E18" s="9">
        <v>164.9</v>
      </c>
      <c r="F18" s="9">
        <v>189.4</v>
      </c>
      <c r="G18" s="9">
        <v>191.3</v>
      </c>
      <c r="H18" s="9">
        <v>190.7</v>
      </c>
      <c r="I18" s="9">
        <v>198.1</v>
      </c>
      <c r="J18" s="9">
        <v>199.8</v>
      </c>
      <c r="K18" s="6">
        <f>K11-658.6</f>
        <v>200</v>
      </c>
      <c r="L18" s="6">
        <v>248.6</v>
      </c>
      <c r="M18" s="6">
        <v>249.9</v>
      </c>
      <c r="N18" s="6">
        <v>309.89999999999998</v>
      </c>
      <c r="O18" s="6">
        <v>289.5</v>
      </c>
      <c r="P18" s="6">
        <v>321.08900000000006</v>
      </c>
      <c r="Q18" s="6">
        <v>343.6</v>
      </c>
      <c r="R18" s="6">
        <v>439.9</v>
      </c>
      <c r="S18" s="6">
        <v>446.7</v>
      </c>
      <c r="T18" s="6">
        <v>460.3</v>
      </c>
      <c r="U18" s="6">
        <v>480.6</v>
      </c>
      <c r="V18" s="6">
        <v>795.7</v>
      </c>
      <c r="W18" s="6">
        <v>820</v>
      </c>
      <c r="X18" s="6"/>
      <c r="Y18" s="8">
        <v>485.9</v>
      </c>
      <c r="Z18" s="8">
        <v>780</v>
      </c>
      <c r="AA18" s="8">
        <v>1008.4</v>
      </c>
      <c r="AB18" s="8">
        <v>1394.1</v>
      </c>
      <c r="AC18" s="8">
        <f>SUM(AC14:AC17)</f>
        <v>2183.1</v>
      </c>
    </row>
    <row r="19" spans="2:32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6"/>
      <c r="S19" s="6"/>
      <c r="T19" s="6"/>
      <c r="U19" s="6"/>
      <c r="V19" s="6"/>
      <c r="W19" s="6"/>
      <c r="X19" s="7"/>
      <c r="Y19" s="7"/>
      <c r="Z19" s="7"/>
      <c r="AA19" s="7"/>
      <c r="AB19" s="7"/>
      <c r="AC19" s="7"/>
    </row>
    <row r="20" spans="2:32" x14ac:dyDescent="0.25">
      <c r="B20" s="3" t="s">
        <v>28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2:32" x14ac:dyDescent="0.25">
      <c r="B21" t="s">
        <v>22</v>
      </c>
      <c r="C21" s="7"/>
      <c r="D21" s="7"/>
      <c r="E21" s="7"/>
      <c r="F21" s="7"/>
      <c r="G21" s="7"/>
      <c r="H21" s="7"/>
      <c r="I21" s="7"/>
      <c r="J21" s="7"/>
      <c r="K21" s="7">
        <v>71.8</v>
      </c>
      <c r="L21" s="7">
        <v>108.3</v>
      </c>
      <c r="M21" s="7">
        <v>93.9</v>
      </c>
      <c r="N21" s="7">
        <v>102.6</v>
      </c>
      <c r="O21" s="7">
        <v>107.8</v>
      </c>
      <c r="P21" s="7">
        <v>112.2</v>
      </c>
      <c r="Q21" s="7">
        <v>134.9</v>
      </c>
      <c r="R21" s="7">
        <v>205</v>
      </c>
      <c r="S21" s="7">
        <v>176.8</v>
      </c>
      <c r="T21" s="7">
        <v>213.5</v>
      </c>
      <c r="U21" s="7">
        <v>247.7</v>
      </c>
      <c r="V21" s="7">
        <v>349.9</v>
      </c>
      <c r="W21" s="7">
        <v>283.39999999999998</v>
      </c>
      <c r="X21" s="7"/>
      <c r="Y21" s="7"/>
      <c r="Z21" s="7"/>
      <c r="AA21" s="7">
        <v>376.6</v>
      </c>
      <c r="AB21" s="7">
        <v>559.9</v>
      </c>
      <c r="AC21" s="7">
        <v>988</v>
      </c>
      <c r="AD21" s="7"/>
    </row>
    <row r="22" spans="2:32" x14ac:dyDescent="0.25">
      <c r="B22" t="s">
        <v>23</v>
      </c>
      <c r="C22" s="7"/>
      <c r="D22" s="7"/>
      <c r="E22" s="7"/>
      <c r="F22" s="7"/>
      <c r="G22" s="7"/>
      <c r="H22" s="7"/>
      <c r="I22" s="7"/>
      <c r="J22" s="7"/>
      <c r="K22" s="7">
        <v>-4.5</v>
      </c>
      <c r="L22" s="7">
        <v>-5.0999999999999996</v>
      </c>
      <c r="M22" s="7">
        <v>-3.7</v>
      </c>
      <c r="N22" s="7">
        <v>2.7</v>
      </c>
      <c r="O22" s="7">
        <v>2.1</v>
      </c>
      <c r="P22" s="7">
        <v>1.4</v>
      </c>
      <c r="Q22" s="7">
        <v>12.2</v>
      </c>
      <c r="R22" s="7">
        <v>10.8</v>
      </c>
      <c r="S22" s="7">
        <v>8.6999999999999993</v>
      </c>
      <c r="T22" s="7">
        <v>-9.5</v>
      </c>
      <c r="U22" s="7">
        <v>-5.8</v>
      </c>
      <c r="V22" s="7">
        <v>-2</v>
      </c>
      <c r="W22" s="7">
        <v>-8.5</v>
      </c>
      <c r="X22" s="7"/>
      <c r="Y22" s="7"/>
      <c r="Z22" s="7"/>
      <c r="AA22" s="7">
        <v>-10.600000000000001</v>
      </c>
      <c r="AB22" s="7">
        <v>26.6</v>
      </c>
      <c r="AC22" s="7">
        <v>-8.5</v>
      </c>
    </row>
    <row r="23" spans="2:32" x14ac:dyDescent="0.25">
      <c r="B23" t="s">
        <v>24</v>
      </c>
      <c r="C23" s="7"/>
      <c r="D23" s="7"/>
      <c r="E23" s="7"/>
      <c r="F23" s="7"/>
      <c r="G23" s="7"/>
      <c r="H23" s="7"/>
      <c r="I23" s="7"/>
      <c r="J23" s="7"/>
      <c r="K23" s="7">
        <v>1.4</v>
      </c>
      <c r="L23" s="7">
        <v>3.5</v>
      </c>
      <c r="M23" s="7">
        <v>8.1999999999999993</v>
      </c>
      <c r="N23" s="7">
        <v>10.8</v>
      </c>
      <c r="O23" s="7">
        <v>9.6</v>
      </c>
      <c r="P23" s="7">
        <v>4.9000000000000004</v>
      </c>
      <c r="Q23" s="7">
        <v>4.5999999999999996</v>
      </c>
      <c r="R23" s="7">
        <v>-3.4</v>
      </c>
      <c r="S23" s="7">
        <v>8.9</v>
      </c>
      <c r="T23" s="7">
        <v>-9.6</v>
      </c>
      <c r="U23" s="7">
        <v>1.5</v>
      </c>
      <c r="V23" s="7">
        <v>21.6</v>
      </c>
      <c r="W23" s="7">
        <v>21.1</v>
      </c>
      <c r="X23" s="7"/>
      <c r="Y23" s="7"/>
      <c r="Z23" s="7"/>
      <c r="AA23" s="7">
        <v>23.9</v>
      </c>
      <c r="AB23" s="7">
        <v>15.700000000000001</v>
      </c>
      <c r="AC23" s="7">
        <v>22.6</v>
      </c>
    </row>
    <row r="24" spans="2:32" x14ac:dyDescent="0.25">
      <c r="B24" t="s">
        <v>25</v>
      </c>
      <c r="C24" s="7"/>
      <c r="D24" s="7"/>
      <c r="E24" s="7"/>
      <c r="F24" s="7"/>
      <c r="G24" s="7"/>
      <c r="H24" s="7"/>
      <c r="I24" s="7"/>
      <c r="J24" s="7"/>
      <c r="K24" s="7">
        <f t="shared" ref="K24" si="4">K25-SUM(K21:K23)</f>
        <v>-3.7000000000000028</v>
      </c>
      <c r="L24" s="7">
        <v>-9.5</v>
      </c>
      <c r="M24" s="7">
        <v>-3</v>
      </c>
      <c r="N24" s="7">
        <v>-6.7</v>
      </c>
      <c r="O24" s="7">
        <v>-7.3</v>
      </c>
      <c r="P24" s="7">
        <v>-4.3</v>
      </c>
      <c r="Q24" s="7">
        <v>-4.2</v>
      </c>
      <c r="R24" s="7">
        <v>-12.9</v>
      </c>
      <c r="S24" s="7">
        <v>-10.199999999999999</v>
      </c>
      <c r="T24" s="7">
        <v>-18</v>
      </c>
      <c r="U24" s="7">
        <v>-17.5</v>
      </c>
      <c r="V24" s="7">
        <v>-43.9</v>
      </c>
      <c r="W24" s="7">
        <v>-55.8</v>
      </c>
      <c r="X24" s="7"/>
      <c r="Y24" s="7"/>
      <c r="Z24" s="7"/>
      <c r="AA24" s="7">
        <v>-22.900000000000002</v>
      </c>
      <c r="AB24" s="7">
        <v>-28.700000000000003</v>
      </c>
      <c r="AC24" s="7">
        <v>-89.6</v>
      </c>
    </row>
    <row r="25" spans="2:32" x14ac:dyDescent="0.25">
      <c r="B25" s="3" t="s">
        <v>26</v>
      </c>
      <c r="C25" s="9">
        <v>25.3</v>
      </c>
      <c r="D25" s="9">
        <v>12</v>
      </c>
      <c r="E25" s="9">
        <v>72.099999999999994</v>
      </c>
      <c r="F25" s="9">
        <v>76</v>
      </c>
      <c r="G25" s="9">
        <v>80.899999999999991</v>
      </c>
      <c r="H25" s="9">
        <v>74</v>
      </c>
      <c r="I25" s="9">
        <v>71.7</v>
      </c>
      <c r="J25" s="9">
        <v>70.099999999999994</v>
      </c>
      <c r="K25" s="6">
        <v>65</v>
      </c>
      <c r="L25" s="6">
        <v>97.3</v>
      </c>
      <c r="M25" s="6">
        <v>95.4</v>
      </c>
      <c r="N25" s="6">
        <v>109.4</v>
      </c>
      <c r="O25" s="6">
        <v>112.2</v>
      </c>
      <c r="P25" s="6">
        <v>114.17400000000001</v>
      </c>
      <c r="Q25" s="6">
        <v>147.6</v>
      </c>
      <c r="R25" s="6">
        <v>199.5</v>
      </c>
      <c r="S25" s="6">
        <v>184.3</v>
      </c>
      <c r="T25" s="6">
        <v>176.5</v>
      </c>
      <c r="U25" s="6">
        <v>226</v>
      </c>
      <c r="V25" s="6">
        <v>325.7</v>
      </c>
      <c r="W25" s="6">
        <v>240.3</v>
      </c>
      <c r="X25" s="6"/>
      <c r="Y25" s="6">
        <v>185.5</v>
      </c>
      <c r="Z25" s="6">
        <f>80.9+74+71.7+70.1</f>
        <v>296.70000000000005</v>
      </c>
      <c r="AA25" s="6">
        <v>367.1</v>
      </c>
      <c r="AB25" s="6">
        <v>573.5</v>
      </c>
      <c r="AC25" s="6">
        <f>SUM(AC21:AC24)</f>
        <v>912.5</v>
      </c>
    </row>
    <row r="26" spans="2:32" x14ac:dyDescent="0.25">
      <c r="B26" s="3"/>
      <c r="C26" s="9"/>
      <c r="D26" s="9"/>
      <c r="E26" s="9"/>
      <c r="F26" s="9"/>
      <c r="G26" s="9"/>
      <c r="H26" s="9"/>
      <c r="I26" s="9"/>
      <c r="J26" s="9"/>
      <c r="K26" s="6"/>
      <c r="L26" s="6"/>
      <c r="M26" s="6"/>
      <c r="N26" s="6"/>
      <c r="O26" s="6"/>
      <c r="P26" s="6"/>
      <c r="Q26" s="6"/>
      <c r="X26" s="6"/>
      <c r="Y26" s="8"/>
      <c r="Z26" s="8"/>
      <c r="AA26" s="8"/>
      <c r="AB26" s="8"/>
      <c r="AC26" s="8"/>
    </row>
    <row r="27" spans="2:32" x14ac:dyDescent="0.25">
      <c r="B27" t="s">
        <v>29</v>
      </c>
      <c r="C27" s="7">
        <f t="shared" ref="C27:N27" si="5">C35-C25</f>
        <v>0</v>
      </c>
      <c r="D27" s="7">
        <f t="shared" si="5"/>
        <v>-13</v>
      </c>
      <c r="E27" s="7">
        <f t="shared" si="5"/>
        <v>-43.999999999999993</v>
      </c>
      <c r="F27" s="7">
        <f t="shared" si="5"/>
        <v>-7.9000000000000057</v>
      </c>
      <c r="G27" s="7">
        <f t="shared" si="5"/>
        <v>-10.099999999999994</v>
      </c>
      <c r="H27" s="7">
        <f t="shared" si="5"/>
        <v>-24.700000000000003</v>
      </c>
      <c r="I27" s="7">
        <f t="shared" si="5"/>
        <v>-4.7000000000000028</v>
      </c>
      <c r="J27" s="7">
        <f t="shared" si="5"/>
        <v>5.9000000000000057</v>
      </c>
      <c r="K27" s="7">
        <f t="shared" si="5"/>
        <v>-11.799999999999997</v>
      </c>
      <c r="L27" s="7">
        <f t="shared" si="5"/>
        <v>-17</v>
      </c>
      <c r="M27" s="7">
        <f t="shared" si="5"/>
        <v>4</v>
      </c>
      <c r="N27" s="7">
        <f t="shared" si="5"/>
        <v>31</v>
      </c>
      <c r="O27" s="7">
        <v>0</v>
      </c>
      <c r="P27" s="7">
        <v>0</v>
      </c>
      <c r="Q27" s="7">
        <v>-12.9</v>
      </c>
      <c r="R27" s="7">
        <v>-5.2</v>
      </c>
      <c r="S27" s="7">
        <v>-9.1</v>
      </c>
      <c r="T27" s="7">
        <v>-30.8</v>
      </c>
      <c r="U27" s="7">
        <v>-11.099999999999994</v>
      </c>
      <c r="V27" s="7">
        <v>-146.6</v>
      </c>
      <c r="W27" s="7">
        <v>-47.8</v>
      </c>
      <c r="X27" s="7"/>
      <c r="Y27" s="7">
        <f>Y35-Y25</f>
        <v>-64.900000000000006</v>
      </c>
      <c r="Z27" s="7">
        <f>Z35-Z25</f>
        <v>-33.500000000000057</v>
      </c>
      <c r="AA27" s="7">
        <f>AA35-AA25</f>
        <v>6.1999999999999886</v>
      </c>
      <c r="AB27" s="7">
        <v>-18</v>
      </c>
      <c r="AC27" s="7">
        <v>-197.6</v>
      </c>
    </row>
    <row r="28" spans="2:32" x14ac:dyDescent="0.25">
      <c r="B28" t="s">
        <v>30</v>
      </c>
      <c r="C28" s="7">
        <f t="shared" ref="C28:W28" si="6">C25-C18</f>
        <v>-41.900000000000006</v>
      </c>
      <c r="D28" s="7">
        <f t="shared" si="6"/>
        <v>-52.400000000000006</v>
      </c>
      <c r="E28" s="7">
        <f t="shared" si="6"/>
        <v>-92.800000000000011</v>
      </c>
      <c r="F28" s="7">
        <f t="shared" si="6"/>
        <v>-113.4</v>
      </c>
      <c r="G28" s="7">
        <f t="shared" si="6"/>
        <v>-110.40000000000002</v>
      </c>
      <c r="H28" s="7">
        <f t="shared" si="6"/>
        <v>-116.69999999999999</v>
      </c>
      <c r="I28" s="7">
        <f t="shared" si="6"/>
        <v>-126.39999999999999</v>
      </c>
      <c r="J28" s="7">
        <f t="shared" si="6"/>
        <v>-129.70000000000002</v>
      </c>
      <c r="K28" s="7">
        <f t="shared" si="6"/>
        <v>-135</v>
      </c>
      <c r="L28" s="7">
        <f t="shared" si="6"/>
        <v>-151.30000000000001</v>
      </c>
      <c r="M28" s="7">
        <f t="shared" si="6"/>
        <v>-154.5</v>
      </c>
      <c r="N28" s="7">
        <f t="shared" si="6"/>
        <v>-200.49999999999997</v>
      </c>
      <c r="O28" s="7">
        <f t="shared" si="6"/>
        <v>-177.3</v>
      </c>
      <c r="P28" s="7">
        <f t="shared" si="6"/>
        <v>-206.91500000000005</v>
      </c>
      <c r="Q28" s="7">
        <f t="shared" si="6"/>
        <v>-196.00000000000003</v>
      </c>
      <c r="R28" s="7">
        <f t="shared" si="6"/>
        <v>-240.39999999999998</v>
      </c>
      <c r="S28" s="7">
        <f t="shared" si="6"/>
        <v>-262.39999999999998</v>
      </c>
      <c r="T28" s="7">
        <f t="shared" si="6"/>
        <v>-283.8</v>
      </c>
      <c r="U28" s="7">
        <f t="shared" si="6"/>
        <v>-254.60000000000002</v>
      </c>
      <c r="V28" s="7">
        <f t="shared" si="6"/>
        <v>-470.00000000000006</v>
      </c>
      <c r="W28" s="7">
        <f t="shared" si="6"/>
        <v>-579.70000000000005</v>
      </c>
      <c r="X28" s="7"/>
      <c r="Y28" s="7">
        <f>Y25-Y18</f>
        <v>-300.39999999999998</v>
      </c>
      <c r="Z28" s="7">
        <f>Z25-Z18</f>
        <v>-483.29999999999995</v>
      </c>
      <c r="AA28" s="7">
        <f>AA25-AA18</f>
        <v>-641.29999999999995</v>
      </c>
      <c r="AB28" s="7">
        <f>AB25-AB18</f>
        <v>-820.59999999999991</v>
      </c>
      <c r="AC28" s="7">
        <f>AC25-AC18</f>
        <v>-1270.5999999999999</v>
      </c>
    </row>
    <row r="29" spans="2:32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2:32" x14ac:dyDescent="0.25">
      <c r="B30" s="3" t="s">
        <v>31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2:32" x14ac:dyDescent="0.25">
      <c r="B31" t="s">
        <v>22</v>
      </c>
      <c r="C31" s="7">
        <v>14.1</v>
      </c>
      <c r="D31" s="7">
        <v>6.8</v>
      </c>
      <c r="E31" s="7">
        <v>59.8</v>
      </c>
      <c r="F31" s="7">
        <v>69.2</v>
      </c>
      <c r="G31" s="7">
        <v>71.400000000000006</v>
      </c>
      <c r="H31" s="7">
        <v>74.7</v>
      </c>
      <c r="I31" s="7">
        <v>62.7</v>
      </c>
      <c r="J31" s="7">
        <v>79.099999999999994</v>
      </c>
      <c r="K31" s="7">
        <v>71.8</v>
      </c>
      <c r="L31" s="7">
        <v>108.3</v>
      </c>
      <c r="M31" s="7">
        <v>94</v>
      </c>
      <c r="N31" s="7">
        <v>102.6</v>
      </c>
      <c r="O31" s="7">
        <v>107.8</v>
      </c>
      <c r="P31" s="7">
        <v>112.15</v>
      </c>
      <c r="Q31" s="7">
        <v>134.9</v>
      </c>
      <c r="R31" s="7">
        <v>202.4</v>
      </c>
      <c r="S31" s="7">
        <v>174.3</v>
      </c>
      <c r="T31" s="7">
        <v>209.2</v>
      </c>
      <c r="U31" s="7">
        <v>233.8</v>
      </c>
      <c r="V31" s="7">
        <v>316.5</v>
      </c>
      <c r="W31" s="7">
        <v>260.8</v>
      </c>
      <c r="X31" s="7"/>
      <c r="Y31" s="7">
        <v>151.69999999999999</v>
      </c>
      <c r="Z31" s="7">
        <v>287.8</v>
      </c>
      <c r="AA31" s="7">
        <v>376.7</v>
      </c>
      <c r="AB31" s="7">
        <v>557.29999999999995</v>
      </c>
      <c r="AC31" s="7">
        <v>933.7</v>
      </c>
      <c r="AD31" s="7"/>
      <c r="AF31" s="7"/>
    </row>
    <row r="32" spans="2:32" x14ac:dyDescent="0.25">
      <c r="B32" t="s">
        <v>23</v>
      </c>
      <c r="C32" s="7"/>
      <c r="D32" s="7"/>
      <c r="E32" s="7"/>
      <c r="F32" s="7">
        <v>0.6</v>
      </c>
      <c r="G32" s="7">
        <v>-4.7</v>
      </c>
      <c r="H32" s="7">
        <v>-4.4000000000000004</v>
      </c>
      <c r="I32" s="7">
        <v>-3.7</v>
      </c>
      <c r="J32" s="7">
        <v>-6.4</v>
      </c>
      <c r="K32" s="7">
        <v>-4.5</v>
      </c>
      <c r="L32" s="7">
        <v>-5.0999999999999996</v>
      </c>
      <c r="M32" s="7">
        <v>-3.7</v>
      </c>
      <c r="N32" s="7">
        <v>2.7</v>
      </c>
      <c r="O32" s="7">
        <v>2.1</v>
      </c>
      <c r="P32" s="7">
        <v>1.401</v>
      </c>
      <c r="Q32" s="7">
        <v>12.2</v>
      </c>
      <c r="R32" s="7">
        <v>10.8</v>
      </c>
      <c r="S32" s="7">
        <v>8.6999999999999993</v>
      </c>
      <c r="T32" s="7">
        <v>-9.5</v>
      </c>
      <c r="U32" s="7">
        <v>-5.8</v>
      </c>
      <c r="V32" s="7">
        <v>-0.2</v>
      </c>
      <c r="W32" s="7">
        <v>-8.5</v>
      </c>
      <c r="X32" s="7"/>
      <c r="Y32" s="7">
        <v>0.6</v>
      </c>
      <c r="Z32" s="7">
        <v>-19.2</v>
      </c>
      <c r="AA32" s="7">
        <v>-10.5</v>
      </c>
      <c r="AB32" s="7">
        <v>26.6</v>
      </c>
      <c r="AC32" s="7">
        <v>-6.7</v>
      </c>
    </row>
    <row r="33" spans="2:29" x14ac:dyDescent="0.25">
      <c r="B33" t="s">
        <v>24</v>
      </c>
      <c r="C33" s="7">
        <v>12.4</v>
      </c>
      <c r="D33" s="7">
        <v>6.3</v>
      </c>
      <c r="E33" s="7">
        <v>12.8</v>
      </c>
      <c r="F33" s="7">
        <v>14.8</v>
      </c>
      <c r="G33" s="7">
        <v>18.600000000000001</v>
      </c>
      <c r="H33" s="7">
        <v>5.5</v>
      </c>
      <c r="I33" s="7">
        <v>17.3</v>
      </c>
      <c r="J33" s="7">
        <v>0.5</v>
      </c>
      <c r="K33" s="7">
        <v>1.4</v>
      </c>
      <c r="L33" s="7">
        <v>3.5</v>
      </c>
      <c r="M33" s="7">
        <v>8.1999999999999993</v>
      </c>
      <c r="N33" s="7">
        <v>10.8</v>
      </c>
      <c r="O33" s="7">
        <v>9.6</v>
      </c>
      <c r="P33" s="7">
        <v>4.8760000000000003</v>
      </c>
      <c r="Q33" s="7">
        <v>4.5999999999999996</v>
      </c>
      <c r="R33" s="7">
        <v>-3.4</v>
      </c>
      <c r="S33" s="7">
        <v>8.9</v>
      </c>
      <c r="T33" s="7">
        <v>-6.1</v>
      </c>
      <c r="U33" s="7">
        <v>1.5</v>
      </c>
      <c r="V33" s="7">
        <v>20.6</v>
      </c>
      <c r="W33" s="7">
        <v>19.3</v>
      </c>
      <c r="X33" s="7"/>
      <c r="Y33" s="7">
        <v>46.4</v>
      </c>
      <c r="Z33" s="7">
        <v>41.9</v>
      </c>
      <c r="AA33" s="7">
        <v>23.8</v>
      </c>
      <c r="AB33" s="7">
        <v>15.7</v>
      </c>
      <c r="AC33" s="7">
        <v>24.9</v>
      </c>
    </row>
    <row r="34" spans="2:29" x14ac:dyDescent="0.25">
      <c r="B34" t="s">
        <v>25</v>
      </c>
      <c r="C34" s="7">
        <f t="shared" ref="C34:O34" si="7">C35-SUM(C31:C33)</f>
        <v>-1.1999999999999993</v>
      </c>
      <c r="D34" s="7">
        <f t="shared" si="7"/>
        <v>-14.1</v>
      </c>
      <c r="E34" s="7">
        <f t="shared" si="7"/>
        <v>-44.499999999999993</v>
      </c>
      <c r="F34" s="7">
        <f t="shared" si="7"/>
        <v>-16.5</v>
      </c>
      <c r="G34" s="7">
        <f t="shared" si="7"/>
        <v>-14.500000000000014</v>
      </c>
      <c r="H34" s="7">
        <f t="shared" si="7"/>
        <v>-26.5</v>
      </c>
      <c r="I34" s="7">
        <f t="shared" si="7"/>
        <v>-9.2999999999999972</v>
      </c>
      <c r="J34" s="7">
        <f t="shared" si="7"/>
        <v>2.8000000000000114</v>
      </c>
      <c r="K34" s="7">
        <f t="shared" si="7"/>
        <v>-15.5</v>
      </c>
      <c r="L34" s="7">
        <f t="shared" si="7"/>
        <v>-26.400000000000006</v>
      </c>
      <c r="M34" s="7">
        <f t="shared" si="7"/>
        <v>0.90000000000000568</v>
      </c>
      <c r="N34" s="7">
        <f t="shared" si="7"/>
        <v>24.300000000000011</v>
      </c>
      <c r="O34" s="7">
        <f t="shared" si="7"/>
        <v>-7.2999999999999829</v>
      </c>
      <c r="P34" s="7">
        <v>-4.2530000000000001</v>
      </c>
      <c r="Q34" s="7">
        <v>-17</v>
      </c>
      <c r="R34" s="7">
        <v>-15.5</v>
      </c>
      <c r="S34" s="7">
        <v>-16.7</v>
      </c>
      <c r="T34" s="7">
        <v>-47.900000000000006</v>
      </c>
      <c r="U34" s="7">
        <v>-14.599999999999994</v>
      </c>
      <c r="V34" s="7">
        <v>-157.80000000000001</v>
      </c>
      <c r="W34" s="7">
        <v>-79.099999999999994</v>
      </c>
      <c r="X34" s="7"/>
      <c r="Y34" s="7">
        <f t="shared" ref="Y34:AA34" si="8">Y35-SUM(Y31:Y33)</f>
        <v>-78.099999999999994</v>
      </c>
      <c r="Z34" s="7">
        <f t="shared" si="8"/>
        <v>-47.300000000000011</v>
      </c>
      <c r="AA34" s="7">
        <f t="shared" si="8"/>
        <v>-16.699999999999989</v>
      </c>
      <c r="AB34" s="7">
        <v>-44.1</v>
      </c>
      <c r="AC34" s="7">
        <v>-237.1</v>
      </c>
    </row>
    <row r="35" spans="2:29" x14ac:dyDescent="0.25">
      <c r="B35" s="3" t="s">
        <v>26</v>
      </c>
      <c r="C35" s="9">
        <v>25.3</v>
      </c>
      <c r="D35" s="9">
        <v>-1</v>
      </c>
      <c r="E35" s="9">
        <v>28.1</v>
      </c>
      <c r="F35" s="9">
        <v>68.099999999999994</v>
      </c>
      <c r="G35" s="9">
        <v>70.8</v>
      </c>
      <c r="H35" s="9">
        <v>49.3</v>
      </c>
      <c r="I35" s="9">
        <v>67</v>
      </c>
      <c r="J35" s="9">
        <v>76</v>
      </c>
      <c r="K35" s="6">
        <v>53.2</v>
      </c>
      <c r="L35" s="6">
        <v>80.3</v>
      </c>
      <c r="M35" s="6">
        <v>99.4</v>
      </c>
      <c r="N35" s="6">
        <v>140.4</v>
      </c>
      <c r="O35" s="6">
        <v>112.2</v>
      </c>
      <c r="P35" s="6">
        <v>114.17400000000001</v>
      </c>
      <c r="Q35" s="6">
        <v>134.80000000000001</v>
      </c>
      <c r="R35" s="6">
        <v>194.3</v>
      </c>
      <c r="S35" s="6">
        <v>175.2</v>
      </c>
      <c r="T35" s="6">
        <v>145.69999999999999</v>
      </c>
      <c r="U35" s="6">
        <v>214.9</v>
      </c>
      <c r="V35" s="6">
        <v>179.1</v>
      </c>
      <c r="W35" s="6">
        <v>192.5</v>
      </c>
      <c r="X35" s="7"/>
      <c r="Y35" s="8">
        <v>120.6</v>
      </c>
      <c r="Z35" s="8">
        <v>263.2</v>
      </c>
      <c r="AA35" s="8">
        <v>373.3</v>
      </c>
      <c r="AB35" s="8">
        <v>555.5</v>
      </c>
      <c r="AC35" s="8">
        <f>SUM(AC31:AC34)-0.1</f>
        <v>714.69999999999993</v>
      </c>
    </row>
    <row r="36" spans="2:29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2:29" x14ac:dyDescent="0.25">
      <c r="B37" t="s">
        <v>32</v>
      </c>
      <c r="C37" s="7"/>
      <c r="D37" s="7"/>
      <c r="E37" s="7"/>
      <c r="F37" s="7"/>
      <c r="G37" s="7">
        <f t="shared" ref="G37:N37" si="9">G39-G35-G38</f>
        <v>-29.699999999999996</v>
      </c>
      <c r="H37" s="7">
        <f t="shared" si="9"/>
        <v>-30.999999999999996</v>
      </c>
      <c r="I37" s="7">
        <f t="shared" si="9"/>
        <v>-32.5</v>
      </c>
      <c r="J37" s="7">
        <f t="shared" si="9"/>
        <v>-33</v>
      </c>
      <c r="K37" s="7">
        <f t="shared" si="9"/>
        <v>-32.900000000000006</v>
      </c>
      <c r="L37" s="7">
        <f t="shared" si="9"/>
        <v>-40.5</v>
      </c>
      <c r="M37" s="7">
        <f t="shared" si="9"/>
        <v>-40.200000000000003</v>
      </c>
      <c r="N37" s="7">
        <f t="shared" si="9"/>
        <v>-32.700000000000003</v>
      </c>
      <c r="O37" s="7">
        <v>-43.2</v>
      </c>
      <c r="P37" s="7">
        <v>-41.058999999999997</v>
      </c>
      <c r="Q37" s="10">
        <v>-48.2</v>
      </c>
      <c r="R37" s="10">
        <v>-51.4</v>
      </c>
      <c r="S37" s="10">
        <v>-56.6</v>
      </c>
      <c r="T37" s="10">
        <v>-57.6</v>
      </c>
      <c r="U37" s="10">
        <v>-59.7</v>
      </c>
      <c r="V37" s="10">
        <v>-88.1</v>
      </c>
      <c r="W37" s="10">
        <v>-95.5</v>
      </c>
      <c r="X37" s="7"/>
      <c r="Y37" s="7">
        <f>Y39-Y35-Y38</f>
        <v>-46.099999999999994</v>
      </c>
      <c r="Z37" s="7">
        <f>Z39-Z35-Z38</f>
        <v>-126.39999999999998</v>
      </c>
      <c r="AA37" s="7">
        <f>AA39-AA35-AA38</f>
        <v>-146.30000000000001</v>
      </c>
      <c r="AB37" s="7">
        <v>-183.9</v>
      </c>
      <c r="AC37" s="7">
        <v>-262</v>
      </c>
    </row>
    <row r="38" spans="2:29" x14ac:dyDescent="0.25">
      <c r="B38" t="s">
        <v>33</v>
      </c>
      <c r="C38" s="7"/>
      <c r="D38" s="7"/>
      <c r="E38" s="7"/>
      <c r="F38" s="7"/>
      <c r="G38" s="7">
        <v>0</v>
      </c>
      <c r="H38" s="7">
        <v>0</v>
      </c>
      <c r="I38" s="7">
        <v>0</v>
      </c>
      <c r="J38" s="7">
        <v>-11.9</v>
      </c>
      <c r="K38" s="10">
        <v>0</v>
      </c>
      <c r="L38" s="10">
        <v>0</v>
      </c>
      <c r="M38" s="10">
        <v>-9.1999999999999993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7"/>
      <c r="Y38" s="7">
        <v>0</v>
      </c>
      <c r="Z38" s="7">
        <v>-11.9</v>
      </c>
      <c r="AA38" s="7">
        <v>-9.1999999999999993</v>
      </c>
      <c r="AB38" s="7">
        <v>0</v>
      </c>
      <c r="AC38" s="7">
        <v>0</v>
      </c>
    </row>
    <row r="39" spans="2:29" x14ac:dyDescent="0.25">
      <c r="B39" s="3" t="s">
        <v>34</v>
      </c>
      <c r="C39" s="6"/>
      <c r="D39" s="6"/>
      <c r="E39" s="6"/>
      <c r="F39" s="6"/>
      <c r="G39" s="6">
        <v>41.1</v>
      </c>
      <c r="H39" s="6">
        <v>18.3</v>
      </c>
      <c r="I39" s="6">
        <v>34.5</v>
      </c>
      <c r="J39" s="6">
        <v>31.1</v>
      </c>
      <c r="K39" s="6">
        <v>20.3</v>
      </c>
      <c r="L39" s="6">
        <v>39.799999999999997</v>
      </c>
      <c r="M39" s="6">
        <v>50</v>
      </c>
      <c r="N39" s="6">
        <v>107.7</v>
      </c>
      <c r="O39" s="6">
        <v>69</v>
      </c>
      <c r="P39" s="6">
        <v>73.163000000000011</v>
      </c>
      <c r="Q39" s="6">
        <v>86.6</v>
      </c>
      <c r="R39" s="6">
        <v>142.9</v>
      </c>
      <c r="S39" s="6">
        <v>118.6</v>
      </c>
      <c r="T39" s="6">
        <v>88.1</v>
      </c>
      <c r="U39" s="6">
        <v>155.19999999999999</v>
      </c>
      <c r="V39" s="6">
        <v>91</v>
      </c>
      <c r="W39" s="6">
        <v>97</v>
      </c>
      <c r="X39" s="7"/>
      <c r="Y39" s="6">
        <v>74.5</v>
      </c>
      <c r="Z39" s="6">
        <v>124.9</v>
      </c>
      <c r="AA39" s="6">
        <v>217.8</v>
      </c>
      <c r="AB39" s="6">
        <v>371.6</v>
      </c>
      <c r="AC39" s="6">
        <v>452.9</v>
      </c>
    </row>
    <row r="40" spans="2:29" x14ac:dyDescent="0.25">
      <c r="B40" t="s">
        <v>35</v>
      </c>
      <c r="C40" s="7"/>
      <c r="D40" s="7"/>
      <c r="E40" s="7"/>
      <c r="F40" s="7"/>
      <c r="G40" s="7">
        <f t="shared" ref="G40:J40" si="10">G41-G39</f>
        <v>-7.6000000000000014</v>
      </c>
      <c r="H40" s="7">
        <f t="shared" si="10"/>
        <v>-9.7000000000000011</v>
      </c>
      <c r="I40" s="7">
        <f t="shared" si="10"/>
        <v>-20.6</v>
      </c>
      <c r="J40" s="7">
        <f t="shared" si="10"/>
        <v>-12.600000000000001</v>
      </c>
      <c r="K40" s="7">
        <f>K41-K39</f>
        <v>-4.1000000000000014</v>
      </c>
      <c r="L40" s="7">
        <f>L41-L39</f>
        <v>0.5</v>
      </c>
      <c r="M40" s="7">
        <f t="shared" ref="M40:P40" si="11">M41-M39</f>
        <v>-1.7000000000000028</v>
      </c>
      <c r="N40" s="7">
        <f t="shared" si="11"/>
        <v>-11.200000000000003</v>
      </c>
      <c r="O40" s="7">
        <f t="shared" si="11"/>
        <v>4.7000000000000028</v>
      </c>
      <c r="P40" s="7">
        <f t="shared" si="11"/>
        <v>-7.4809999999999945</v>
      </c>
      <c r="Q40" s="7">
        <v>6.4</v>
      </c>
      <c r="R40" s="7">
        <f>6-26.2</f>
        <v>-20.2</v>
      </c>
      <c r="S40" s="7">
        <f>24.2-12.1</f>
        <v>12.1</v>
      </c>
      <c r="T40" s="7">
        <v>-31.799999999999997</v>
      </c>
      <c r="U40" s="7">
        <v>-20.399999999999999</v>
      </c>
      <c r="V40" s="7">
        <v>-33.4</v>
      </c>
      <c r="W40" s="7">
        <f>216.4-127.4</f>
        <v>89</v>
      </c>
      <c r="X40" s="7"/>
      <c r="Y40" s="7">
        <f t="shared" ref="Y40:AA40" si="12">Y41-Y39</f>
        <v>9.2999999999999972</v>
      </c>
      <c r="Z40" s="7">
        <f t="shared" si="12"/>
        <v>-50.5</v>
      </c>
      <c r="AA40" s="7">
        <f t="shared" si="12"/>
        <v>-16.5</v>
      </c>
      <c r="AB40" s="7">
        <f>18.6-35.2</f>
        <v>-16.600000000000001</v>
      </c>
      <c r="AC40" s="7">
        <v>-73.5</v>
      </c>
    </row>
    <row r="41" spans="2:29" x14ac:dyDescent="0.25">
      <c r="B41" s="3" t="s">
        <v>36</v>
      </c>
      <c r="C41" s="6"/>
      <c r="D41" s="6"/>
      <c r="E41" s="6"/>
      <c r="F41" s="6"/>
      <c r="G41" s="6">
        <v>33.5</v>
      </c>
      <c r="H41" s="6">
        <v>8.6</v>
      </c>
      <c r="I41" s="6">
        <v>13.9</v>
      </c>
      <c r="J41" s="6">
        <v>18.5</v>
      </c>
      <c r="K41" s="6">
        <v>16.2</v>
      </c>
      <c r="L41" s="6">
        <v>40.299999999999997</v>
      </c>
      <c r="M41" s="6">
        <v>48.3</v>
      </c>
      <c r="N41" s="6">
        <v>96.5</v>
      </c>
      <c r="O41" s="6">
        <v>73.7</v>
      </c>
      <c r="P41" s="6">
        <v>65.682000000000016</v>
      </c>
      <c r="Q41" s="6">
        <v>93</v>
      </c>
      <c r="R41" s="6">
        <v>122.7</v>
      </c>
      <c r="S41" s="6">
        <v>130.80000000000001</v>
      </c>
      <c r="T41" s="6">
        <v>56.3</v>
      </c>
      <c r="U41" s="6">
        <v>134.69999999999999</v>
      </c>
      <c r="V41" s="6">
        <v>57.6</v>
      </c>
      <c r="W41" s="6">
        <v>185.9</v>
      </c>
      <c r="X41" s="7"/>
      <c r="Y41" s="6">
        <v>83.8</v>
      </c>
      <c r="Z41" s="6">
        <v>74.400000000000006</v>
      </c>
      <c r="AA41" s="6">
        <v>201.3</v>
      </c>
      <c r="AB41" s="6">
        <v>355</v>
      </c>
      <c r="AC41" s="6">
        <f>SUM(AC39:AC40)</f>
        <v>379.4</v>
      </c>
    </row>
    <row r="42" spans="2:29" x14ac:dyDescent="0.25">
      <c r="B42" t="s">
        <v>37</v>
      </c>
      <c r="C42" s="7"/>
      <c r="D42" s="7"/>
      <c r="E42" s="7"/>
      <c r="F42" s="7"/>
      <c r="G42" s="7">
        <f t="shared" ref="G42:J42" si="13">G43-G41</f>
        <v>-0.10000000000000142</v>
      </c>
      <c r="H42" s="7">
        <f t="shared" si="13"/>
        <v>-9.7999999999999989</v>
      </c>
      <c r="I42" s="7">
        <f t="shared" si="13"/>
        <v>-2</v>
      </c>
      <c r="J42" s="7">
        <f t="shared" si="13"/>
        <v>71.8</v>
      </c>
      <c r="K42" s="7">
        <f>K43-K41</f>
        <v>-7</v>
      </c>
      <c r="L42" s="7">
        <f>L43-L41</f>
        <v>-11.299999999999997</v>
      </c>
      <c r="M42" s="7">
        <f t="shared" ref="M42:P42" si="14">M43-M41</f>
        <v>-10.5</v>
      </c>
      <c r="N42" s="7">
        <f t="shared" si="14"/>
        <v>7</v>
      </c>
      <c r="O42" s="7">
        <f t="shared" si="14"/>
        <v>-15.900000000000006</v>
      </c>
      <c r="P42" s="7">
        <f t="shared" si="14"/>
        <v>-12.382999999999996</v>
      </c>
      <c r="Q42" s="7">
        <v>-24.3</v>
      </c>
      <c r="R42" s="7">
        <f>-25.8-2.2</f>
        <v>-28</v>
      </c>
      <c r="S42" s="7">
        <f>-42+7.7</f>
        <v>-34.299999999999997</v>
      </c>
      <c r="T42" s="7">
        <v>-19.199999999999996</v>
      </c>
      <c r="U42" s="7">
        <v>-38.299999999999997</v>
      </c>
      <c r="V42" s="7">
        <v>155</v>
      </c>
      <c r="W42" s="7">
        <f>-76.5+31.4</f>
        <v>-45.1</v>
      </c>
      <c r="X42" s="7"/>
      <c r="Y42" s="7">
        <f t="shared" ref="Y42:AA42" si="15">Y43-Y41</f>
        <v>-1.3999999999999915</v>
      </c>
      <c r="Z42" s="7">
        <f t="shared" si="15"/>
        <v>60</v>
      </c>
      <c r="AA42" s="7">
        <f t="shared" si="15"/>
        <v>-21.800000000000011</v>
      </c>
      <c r="AB42" s="7">
        <f>-83.8+3.3</f>
        <v>-80.5</v>
      </c>
      <c r="AC42" s="7">
        <f>-145.4+208.4</f>
        <v>63</v>
      </c>
    </row>
    <row r="43" spans="2:29" x14ac:dyDescent="0.25">
      <c r="B43" s="3" t="s">
        <v>38</v>
      </c>
      <c r="C43" s="6"/>
      <c r="D43" s="6"/>
      <c r="E43" s="6"/>
      <c r="F43" s="6"/>
      <c r="G43" s="6">
        <v>33.4</v>
      </c>
      <c r="H43" s="6">
        <v>-1.2</v>
      </c>
      <c r="I43" s="6">
        <v>11.9</v>
      </c>
      <c r="J43" s="6">
        <v>90.3</v>
      </c>
      <c r="K43" s="6">
        <v>9.1999999999999993</v>
      </c>
      <c r="L43" s="6">
        <v>29</v>
      </c>
      <c r="M43" s="6">
        <v>37.799999999999997</v>
      </c>
      <c r="N43" s="6">
        <v>103.5</v>
      </c>
      <c r="O43" s="6">
        <v>57.8</v>
      </c>
      <c r="P43" s="6">
        <v>53.299000000000021</v>
      </c>
      <c r="Q43" s="6">
        <v>68.7</v>
      </c>
      <c r="R43" s="6">
        <v>94.7</v>
      </c>
      <c r="S43" s="6">
        <v>96.4</v>
      </c>
      <c r="T43" s="6">
        <v>37.1</v>
      </c>
      <c r="U43" s="6">
        <v>96.4</v>
      </c>
      <c r="V43" s="6">
        <v>212.6</v>
      </c>
      <c r="W43" s="6">
        <v>140.80000000000001</v>
      </c>
      <c r="X43" s="7"/>
      <c r="Y43" s="6">
        <v>82.4</v>
      </c>
      <c r="Z43" s="6">
        <v>134.4</v>
      </c>
      <c r="AA43" s="6">
        <v>179.5</v>
      </c>
      <c r="AB43" s="6">
        <v>274.5</v>
      </c>
      <c r="AC43" s="6">
        <f>SUM(AC41:AC42)</f>
        <v>442.4</v>
      </c>
    </row>
    <row r="44" spans="2:29" x14ac:dyDescent="0.25">
      <c r="B44" t="s">
        <v>39</v>
      </c>
      <c r="C44" s="7"/>
      <c r="D44" s="7"/>
      <c r="E44" s="7"/>
      <c r="F44" s="7"/>
      <c r="G44" s="7">
        <f t="shared" ref="G44:J44" si="16">G43-G45</f>
        <v>0.19999999999999574</v>
      </c>
      <c r="H44" s="7">
        <f t="shared" si="16"/>
        <v>0.19999999999999996</v>
      </c>
      <c r="I44" s="7">
        <f t="shared" si="16"/>
        <v>9.9999999999999645E-2</v>
      </c>
      <c r="J44" s="7">
        <f t="shared" si="16"/>
        <v>0</v>
      </c>
      <c r="K44" s="7">
        <f>K43-K45</f>
        <v>9.9999999999999645E-2</v>
      </c>
      <c r="L44" s="7">
        <f>L43-L45</f>
        <v>0</v>
      </c>
      <c r="M44" s="7">
        <f t="shared" ref="M44:O44" si="17">M43-M45</f>
        <v>-0.10000000000000142</v>
      </c>
      <c r="N44" s="7">
        <f t="shared" si="17"/>
        <v>0</v>
      </c>
      <c r="O44" s="7">
        <f t="shared" si="17"/>
        <v>-0.10000000000000142</v>
      </c>
      <c r="P44" s="7">
        <f>P43-P45</f>
        <v>6.2000000000018929E-2</v>
      </c>
      <c r="Q44" s="7">
        <v>-0.1</v>
      </c>
      <c r="R44" s="7">
        <v>0</v>
      </c>
      <c r="S44" s="7">
        <v>-0.1</v>
      </c>
      <c r="T44" s="7">
        <v>0.1</v>
      </c>
      <c r="U44" s="7">
        <v>0.1</v>
      </c>
      <c r="V44" s="7">
        <v>0</v>
      </c>
      <c r="W44" s="7">
        <v>0</v>
      </c>
      <c r="X44" s="14"/>
      <c r="Y44" s="7">
        <f>Y43-Y45</f>
        <v>0</v>
      </c>
      <c r="Z44" s="7">
        <f>Z43-Z45</f>
        <v>0.5</v>
      </c>
      <c r="AA44" s="7">
        <f t="shared" ref="AA44" si="18">AA43-AA45</f>
        <v>0</v>
      </c>
      <c r="AB44" s="7">
        <v>-0.1</v>
      </c>
      <c r="AC44" s="7">
        <v>-0.1</v>
      </c>
    </row>
    <row r="45" spans="2:29" x14ac:dyDescent="0.25">
      <c r="B45" s="5" t="s">
        <v>40</v>
      </c>
      <c r="C45" s="7"/>
      <c r="D45" s="7"/>
      <c r="E45" s="7"/>
      <c r="F45" s="7"/>
      <c r="G45" s="7">
        <v>33.200000000000003</v>
      </c>
      <c r="H45" s="7">
        <v>-1.4</v>
      </c>
      <c r="I45" s="7">
        <v>11.8</v>
      </c>
      <c r="J45" s="7">
        <v>90.3</v>
      </c>
      <c r="K45" s="7">
        <v>9.1</v>
      </c>
      <c r="L45" s="7">
        <v>29</v>
      </c>
      <c r="M45" s="7">
        <v>37.9</v>
      </c>
      <c r="N45" s="7">
        <v>103.5</v>
      </c>
      <c r="O45" s="7">
        <v>57.9</v>
      </c>
      <c r="P45" s="7">
        <v>53.237000000000002</v>
      </c>
      <c r="Q45" s="7">
        <v>68.8</v>
      </c>
      <c r="R45" s="7">
        <v>94.7</v>
      </c>
      <c r="S45" s="7">
        <v>96.5</v>
      </c>
      <c r="T45" s="7">
        <v>37</v>
      </c>
      <c r="U45" s="7">
        <v>96.3</v>
      </c>
      <c r="V45" s="7">
        <v>212.6</v>
      </c>
      <c r="W45" s="7">
        <v>140.80000000000001</v>
      </c>
      <c r="X45" s="7"/>
      <c r="Y45" s="7">
        <v>82.4</v>
      </c>
      <c r="Z45" s="7">
        <v>133.9</v>
      </c>
      <c r="AA45" s="7">
        <v>179.5</v>
      </c>
      <c r="AB45" s="7">
        <v>274.60000000000002</v>
      </c>
      <c r="AC45" s="7">
        <v>442.3</v>
      </c>
    </row>
    <row r="46" spans="2:29" x14ac:dyDescent="0.25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2:29" x14ac:dyDescent="0.25">
      <c r="B47" s="11" t="s">
        <v>52</v>
      </c>
      <c r="C47" s="6"/>
      <c r="D47" s="6"/>
      <c r="E47" s="6"/>
      <c r="F47" s="6"/>
      <c r="G47" s="6">
        <v>511.9</v>
      </c>
      <c r="H47" s="6">
        <v>245.7</v>
      </c>
      <c r="I47" s="6">
        <v>320.10000000000002</v>
      </c>
      <c r="J47" s="6">
        <v>348.8</v>
      </c>
      <c r="K47" s="6">
        <v>546.9</v>
      </c>
      <c r="L47" s="6">
        <v>437.5</v>
      </c>
      <c r="M47" s="6">
        <v>514.20000000000005</v>
      </c>
      <c r="N47" s="6">
        <v>405.5</v>
      </c>
      <c r="O47" s="6">
        <v>484.1</v>
      </c>
      <c r="P47" s="6">
        <v>441.35699999999997</v>
      </c>
      <c r="Q47" s="6">
        <v>445</v>
      </c>
      <c r="R47" s="6">
        <v>958.7</v>
      </c>
      <c r="S47" s="6">
        <v>-639.29999999999995</v>
      </c>
      <c r="T47" s="6">
        <v>-1493.9</v>
      </c>
      <c r="U47" s="6">
        <v>-971.8</v>
      </c>
      <c r="V47" s="6">
        <v>-1985.2</v>
      </c>
      <c r="W47" s="6">
        <v>-2052.8000000000002</v>
      </c>
      <c r="X47" s="7"/>
      <c r="Y47" s="6">
        <v>368.6</v>
      </c>
      <c r="Z47" s="6">
        <v>348.8</v>
      </c>
      <c r="AA47" s="6">
        <v>405.5</v>
      </c>
      <c r="AB47" s="6">
        <v>958.7</v>
      </c>
      <c r="AC47" s="6">
        <f>V47</f>
        <v>-1985.2</v>
      </c>
    </row>
    <row r="48" spans="2:29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30" x14ac:dyDescent="0.25">
      <c r="B49" s="3" t="s">
        <v>34</v>
      </c>
      <c r="C49" s="4"/>
      <c r="D49" s="4"/>
      <c r="E49" s="4"/>
      <c r="F49" s="4"/>
      <c r="G49" s="6">
        <f>G39</f>
        <v>41.1</v>
      </c>
      <c r="H49" s="6">
        <f t="shared" ref="H49:O49" si="19">H39</f>
        <v>18.3</v>
      </c>
      <c r="I49" s="6">
        <f t="shared" si="19"/>
        <v>34.5</v>
      </c>
      <c r="J49" s="6">
        <f t="shared" si="19"/>
        <v>31.1</v>
      </c>
      <c r="K49" s="6">
        <f t="shared" si="19"/>
        <v>20.3</v>
      </c>
      <c r="L49" s="6">
        <f t="shared" si="19"/>
        <v>39.799999999999997</v>
      </c>
      <c r="M49" s="6">
        <f t="shared" si="19"/>
        <v>50</v>
      </c>
      <c r="N49" s="6">
        <f t="shared" si="19"/>
        <v>107.7</v>
      </c>
      <c r="O49" s="6">
        <f t="shared" si="19"/>
        <v>69</v>
      </c>
      <c r="P49" s="6">
        <f t="shared" ref="P49" si="20">P39</f>
        <v>73.163000000000011</v>
      </c>
      <c r="Q49" s="6">
        <v>86.6</v>
      </c>
      <c r="R49" s="6">
        <v>142.9</v>
      </c>
      <c r="S49" s="6">
        <v>118.6</v>
      </c>
      <c r="T49" s="6">
        <v>88.1</v>
      </c>
      <c r="U49" s="6">
        <v>155.19999999999999</v>
      </c>
      <c r="V49" s="6">
        <v>91</v>
      </c>
      <c r="W49" s="6">
        <v>97</v>
      </c>
      <c r="X49" s="7"/>
      <c r="Y49" s="4"/>
      <c r="Z49" s="6">
        <f t="shared" ref="Z49:AA49" si="21">Z39</f>
        <v>124.9</v>
      </c>
      <c r="AA49" s="6">
        <f t="shared" si="21"/>
        <v>217.8</v>
      </c>
      <c r="AB49" s="6">
        <v>371.6</v>
      </c>
      <c r="AC49" s="6">
        <v>452.9</v>
      </c>
    </row>
    <row r="50" spans="1:30" x14ac:dyDescent="0.25">
      <c r="B50" t="str">
        <f>B27</f>
        <v>One-offs in EBITDA</v>
      </c>
      <c r="C50" s="4"/>
      <c r="D50" s="4"/>
      <c r="E50" s="4"/>
      <c r="F50" s="4"/>
      <c r="G50" s="7">
        <f t="shared" ref="G50:P50" si="22">G27</f>
        <v>-10.099999999999994</v>
      </c>
      <c r="H50" s="7">
        <f t="shared" si="22"/>
        <v>-24.700000000000003</v>
      </c>
      <c r="I50" s="7">
        <f t="shared" si="22"/>
        <v>-4.7000000000000028</v>
      </c>
      <c r="J50" s="7">
        <f t="shared" si="22"/>
        <v>5.9000000000000057</v>
      </c>
      <c r="K50" s="7">
        <f t="shared" si="22"/>
        <v>-11.799999999999997</v>
      </c>
      <c r="L50" s="7">
        <f t="shared" si="22"/>
        <v>-17</v>
      </c>
      <c r="M50" s="7">
        <f t="shared" si="22"/>
        <v>4</v>
      </c>
      <c r="N50" s="7">
        <f t="shared" si="22"/>
        <v>31</v>
      </c>
      <c r="O50" s="7">
        <f t="shared" si="22"/>
        <v>0</v>
      </c>
      <c r="P50" s="7">
        <f t="shared" si="22"/>
        <v>0</v>
      </c>
      <c r="Q50" s="7">
        <v>-12.9</v>
      </c>
      <c r="R50" s="7">
        <v>-5.2</v>
      </c>
      <c r="S50" s="7">
        <v>-9.1</v>
      </c>
      <c r="T50" s="7">
        <v>-30.8</v>
      </c>
      <c r="U50" s="7">
        <v>-11.1</v>
      </c>
      <c r="V50" s="7">
        <f>V27</f>
        <v>-146.6</v>
      </c>
      <c r="W50" s="7">
        <f>W27</f>
        <v>-47.8</v>
      </c>
      <c r="X50" s="7"/>
      <c r="Y50" s="7"/>
      <c r="Z50" s="7">
        <f>Z27</f>
        <v>-33.500000000000057</v>
      </c>
      <c r="AA50" s="7">
        <f>AA27</f>
        <v>6.1999999999999886</v>
      </c>
      <c r="AB50" s="7">
        <v>-18</v>
      </c>
      <c r="AC50" s="7">
        <f>AC27</f>
        <v>-197.6</v>
      </c>
    </row>
    <row r="51" spans="1:30" x14ac:dyDescent="0.25">
      <c r="B51" t="s">
        <v>33</v>
      </c>
      <c r="C51" s="4"/>
      <c r="D51" s="4"/>
      <c r="E51" s="4"/>
      <c r="F51" s="4"/>
      <c r="G51" s="7">
        <f>G38</f>
        <v>0</v>
      </c>
      <c r="H51" s="7">
        <f t="shared" ref="H51:O51" si="23">H38</f>
        <v>0</v>
      </c>
      <c r="I51" s="7">
        <f t="shared" si="23"/>
        <v>0</v>
      </c>
      <c r="J51" s="7">
        <f t="shared" si="23"/>
        <v>-11.9</v>
      </c>
      <c r="K51" s="7">
        <f t="shared" si="23"/>
        <v>0</v>
      </c>
      <c r="L51" s="7">
        <f t="shared" si="23"/>
        <v>0</v>
      </c>
      <c r="M51" s="7">
        <f t="shared" si="23"/>
        <v>-9.1999999999999993</v>
      </c>
      <c r="N51" s="7">
        <f t="shared" si="23"/>
        <v>0</v>
      </c>
      <c r="O51" s="7">
        <f t="shared" si="23"/>
        <v>0</v>
      </c>
      <c r="P51" s="7">
        <f t="shared" ref="P51" si="24">P38</f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/>
      <c r="Y51" s="4"/>
      <c r="Z51" s="7">
        <f t="shared" ref="Z51:AA51" si="25">Z38</f>
        <v>-11.9</v>
      </c>
      <c r="AA51" s="7">
        <f t="shared" si="25"/>
        <v>-9.1999999999999993</v>
      </c>
      <c r="AB51" s="7">
        <v>0</v>
      </c>
      <c r="AC51" s="7">
        <v>0</v>
      </c>
    </row>
    <row r="52" spans="1:30" x14ac:dyDescent="0.25">
      <c r="B52" t="s">
        <v>41</v>
      </c>
      <c r="G52" s="7">
        <v>-24.3</v>
      </c>
      <c r="H52" s="7">
        <v>-27.3</v>
      </c>
      <c r="I52" s="7">
        <v>-27.7</v>
      </c>
      <c r="J52" s="7">
        <v>-27.6</v>
      </c>
      <c r="K52" s="7">
        <v>-26.7</v>
      </c>
      <c r="L52" s="7">
        <v>-34.299999999999997</v>
      </c>
      <c r="M52" s="7">
        <v>-35.6</v>
      </c>
      <c r="N52" s="7">
        <v>-27.4</v>
      </c>
      <c r="O52" s="7">
        <v>-33.299999999999997</v>
      </c>
      <c r="P52" s="7">
        <v>-30.928000000000001</v>
      </c>
      <c r="Q52" s="7">
        <v>-32.1</v>
      </c>
      <c r="R52" s="7">
        <v>-37.700000000000003</v>
      </c>
      <c r="S52" s="7">
        <v>-41.1</v>
      </c>
      <c r="T52" s="7">
        <v>-42.8</v>
      </c>
      <c r="U52" s="7">
        <v>-44.4</v>
      </c>
      <c r="V52" s="7">
        <v>-66.099999999999994</v>
      </c>
      <c r="W52" s="7">
        <v>-70.3</v>
      </c>
      <c r="Y52" s="4"/>
      <c r="Z52" s="7">
        <f>SUM(G52:J52)</f>
        <v>-106.9</v>
      </c>
      <c r="AA52" s="7">
        <f>SUM(K52:N52)</f>
        <v>-124</v>
      </c>
      <c r="AB52" s="7">
        <v>-134</v>
      </c>
      <c r="AC52" s="7">
        <v>-194.3</v>
      </c>
    </row>
    <row r="53" spans="1:30" x14ac:dyDescent="0.25">
      <c r="B53" s="3" t="s">
        <v>42</v>
      </c>
      <c r="G53" s="6">
        <f>G49-G50-G51-G52</f>
        <v>75.5</v>
      </c>
      <c r="H53" s="6">
        <f t="shared" ref="H53:O53" si="26">H49-H50-H51-H52</f>
        <v>70.3</v>
      </c>
      <c r="I53" s="6">
        <f t="shared" si="26"/>
        <v>66.900000000000006</v>
      </c>
      <c r="J53" s="6">
        <f t="shared" si="26"/>
        <v>64.699999999999989</v>
      </c>
      <c r="K53" s="6">
        <f t="shared" si="26"/>
        <v>58.8</v>
      </c>
      <c r="L53" s="6">
        <f t="shared" si="26"/>
        <v>91.1</v>
      </c>
      <c r="M53" s="6">
        <f t="shared" si="26"/>
        <v>90.800000000000011</v>
      </c>
      <c r="N53" s="6">
        <f t="shared" si="26"/>
        <v>104.1</v>
      </c>
      <c r="O53" s="6">
        <f t="shared" si="26"/>
        <v>102.3</v>
      </c>
      <c r="P53" s="6">
        <v>104.09100000000001</v>
      </c>
      <c r="Q53" s="6">
        <v>131.5</v>
      </c>
      <c r="R53" s="6">
        <v>185.7</v>
      </c>
      <c r="S53" s="6">
        <v>168.8</v>
      </c>
      <c r="T53" s="6">
        <v>161.69999999999999</v>
      </c>
      <c r="U53" s="6">
        <v>210.7</v>
      </c>
      <c r="V53" s="6">
        <f>91+146.6+66.1</f>
        <v>303.7</v>
      </c>
      <c r="W53" s="6">
        <v>215</v>
      </c>
      <c r="Z53" s="6">
        <f t="shared" ref="Z53" si="27">Z49-Z50-Z51-Z52</f>
        <v>277.20000000000005</v>
      </c>
      <c r="AA53" s="6">
        <f t="shared" ref="AA53" si="28">AA49-AA50-AA51-AA52</f>
        <v>344.8</v>
      </c>
      <c r="AB53" s="6">
        <v>523.6</v>
      </c>
      <c r="AC53" s="6">
        <f>AC49+197.6+194.3</f>
        <v>844.8</v>
      </c>
    </row>
    <row r="54" spans="1:30" x14ac:dyDescent="0.25">
      <c r="A54" s="7"/>
      <c r="T54" s="7"/>
      <c r="U54" s="7"/>
      <c r="V54" s="7"/>
      <c r="W54" s="7"/>
      <c r="X54" s="7"/>
    </row>
    <row r="55" spans="1:30" x14ac:dyDescent="0.25">
      <c r="B55" s="3" t="s">
        <v>28</v>
      </c>
      <c r="C55" s="3"/>
      <c r="D55" s="3"/>
      <c r="E55" s="3"/>
      <c r="F55" s="3"/>
      <c r="G55" s="15"/>
      <c r="H55" s="15"/>
      <c r="I55" s="15"/>
      <c r="J55" s="15"/>
      <c r="K55" s="6">
        <v>65</v>
      </c>
      <c r="L55" s="6">
        <v>97.3</v>
      </c>
      <c r="M55" s="6">
        <v>95.4</v>
      </c>
      <c r="N55" s="6">
        <v>109.4</v>
      </c>
      <c r="O55" s="6">
        <v>112.2</v>
      </c>
      <c r="P55" s="6">
        <v>114.2</v>
      </c>
      <c r="Q55" s="6">
        <v>147.6</v>
      </c>
      <c r="R55" s="6">
        <v>199.5</v>
      </c>
      <c r="S55" s="6">
        <v>184.3</v>
      </c>
      <c r="T55" s="6">
        <v>176.5</v>
      </c>
      <c r="U55" s="6">
        <v>226</v>
      </c>
      <c r="V55" s="6">
        <v>325.7</v>
      </c>
      <c r="W55" s="6">
        <v>240.3</v>
      </c>
      <c r="X55" s="6"/>
      <c r="Y55" s="6"/>
      <c r="Z55" s="6"/>
      <c r="AA55" s="6">
        <v>367.1</v>
      </c>
      <c r="AB55" s="6">
        <v>573.5</v>
      </c>
      <c r="AC55" s="6">
        <v>912.5</v>
      </c>
      <c r="AD55" s="4"/>
    </row>
    <row r="56" spans="1:30" x14ac:dyDescent="0.25">
      <c r="B56" t="s">
        <v>43</v>
      </c>
      <c r="G56" s="4"/>
      <c r="H56" s="4"/>
      <c r="I56" s="4"/>
      <c r="J56" s="4"/>
      <c r="K56" s="4">
        <v>-3.8</v>
      </c>
      <c r="L56" s="4">
        <v>-5.2</v>
      </c>
      <c r="M56" s="4">
        <v>-5.5</v>
      </c>
      <c r="N56" s="4">
        <v>-4.8</v>
      </c>
      <c r="O56" s="4">
        <v>-6.6</v>
      </c>
      <c r="P56" s="4">
        <v>-6</v>
      </c>
      <c r="Q56" s="4">
        <v>-5.9</v>
      </c>
      <c r="R56" s="4">
        <v>-2.4</v>
      </c>
      <c r="S56" s="4">
        <v>-6.9</v>
      </c>
      <c r="T56" s="4">
        <v>-9.5</v>
      </c>
      <c r="U56" s="4">
        <v>-7.7</v>
      </c>
      <c r="V56" s="4">
        <v>-5.6272646231000012</v>
      </c>
      <c r="W56" s="4">
        <v>-11.1</v>
      </c>
      <c r="X56" s="4"/>
      <c r="Y56" s="4"/>
      <c r="Z56" s="4"/>
      <c r="AA56" s="4">
        <v>-19.399999999999999</v>
      </c>
      <c r="AB56" s="4">
        <v>-20.8</v>
      </c>
      <c r="AC56" s="4">
        <v>-29.681813272300001</v>
      </c>
      <c r="AD56" s="4"/>
    </row>
    <row r="57" spans="1:30" x14ac:dyDescent="0.25">
      <c r="B57" t="s">
        <v>44</v>
      </c>
      <c r="G57" s="4"/>
      <c r="H57" s="4"/>
      <c r="I57" s="4"/>
      <c r="J57" s="4"/>
      <c r="K57" s="4">
        <v>-23.2</v>
      </c>
      <c r="L57" s="4">
        <v>-21.3</v>
      </c>
      <c r="M57" s="4">
        <v>-22.1</v>
      </c>
      <c r="N57" s="4">
        <v>1.5</v>
      </c>
      <c r="O57" s="4">
        <v>-20.6</v>
      </c>
      <c r="P57" s="4">
        <v>-34.700000000000003</v>
      </c>
      <c r="Q57" s="4">
        <v>-8.1</v>
      </c>
      <c r="R57" s="4">
        <v>-54</v>
      </c>
      <c r="S57" s="4">
        <v>-3</v>
      </c>
      <c r="T57" s="4">
        <v>-6.4</v>
      </c>
      <c r="U57" s="4">
        <v>-72.7</v>
      </c>
      <c r="V57" s="4">
        <v>-19.235003289100007</v>
      </c>
      <c r="W57" s="4">
        <v>-48.1</v>
      </c>
      <c r="X57" s="4"/>
      <c r="Y57" s="4"/>
      <c r="Z57" s="4"/>
      <c r="AA57" s="4">
        <v>-65.099999999999994</v>
      </c>
      <c r="AB57" s="4">
        <v>-117.4</v>
      </c>
      <c r="AC57" s="4">
        <v>-101.3352781287</v>
      </c>
      <c r="AD57" s="4"/>
    </row>
    <row r="58" spans="1:30" x14ac:dyDescent="0.25">
      <c r="B58" t="s">
        <v>25</v>
      </c>
      <c r="G58" s="4"/>
      <c r="H58" s="4"/>
      <c r="I58" s="4"/>
      <c r="J58" s="4"/>
      <c r="K58" s="4">
        <v>-5.6</v>
      </c>
      <c r="L58" s="4">
        <v>-30.6</v>
      </c>
      <c r="M58" s="4">
        <v>1.6</v>
      </c>
      <c r="N58" s="4">
        <v>-24.4</v>
      </c>
      <c r="O58" s="4">
        <v>0.8</v>
      </c>
      <c r="P58" s="4">
        <v>0.5</v>
      </c>
      <c r="Q58" s="4">
        <v>10.3</v>
      </c>
      <c r="R58" s="4">
        <v>6.5</v>
      </c>
      <c r="S58" s="4">
        <v>1.1000000000000001</v>
      </c>
      <c r="T58" s="4">
        <v>-33.9</v>
      </c>
      <c r="U58" s="4">
        <v>-0.7</v>
      </c>
      <c r="V58" s="4">
        <v>-145.9</v>
      </c>
      <c r="W58" s="4">
        <v>44.7</v>
      </c>
      <c r="X58" s="4"/>
      <c r="Y58" s="4"/>
      <c r="Z58" s="4"/>
      <c r="AA58" s="4">
        <v>-59</v>
      </c>
      <c r="AB58" s="4">
        <v>18.2</v>
      </c>
      <c r="AC58" s="4">
        <v>-179.4</v>
      </c>
      <c r="AD58" s="4"/>
    </row>
    <row r="59" spans="1:30" x14ac:dyDescent="0.25">
      <c r="B59" s="3" t="s">
        <v>45</v>
      </c>
      <c r="G59" s="15"/>
      <c r="H59" s="15"/>
      <c r="I59" s="15"/>
      <c r="J59" s="15"/>
      <c r="K59" s="6">
        <v>32.5</v>
      </c>
      <c r="L59" s="6">
        <v>40.200000000000003</v>
      </c>
      <c r="M59" s="6">
        <v>69.3</v>
      </c>
      <c r="N59" s="6">
        <v>81.7</v>
      </c>
      <c r="O59" s="6">
        <v>85.9</v>
      </c>
      <c r="P59" s="6">
        <v>74</v>
      </c>
      <c r="Q59" s="6">
        <v>144</v>
      </c>
      <c r="R59" s="6">
        <v>149.69999999999999</v>
      </c>
      <c r="S59" s="6">
        <v>175.6</v>
      </c>
      <c r="T59" s="6">
        <v>126.7</v>
      </c>
      <c r="U59" s="6">
        <v>145</v>
      </c>
      <c r="V59" s="6">
        <v>154.9</v>
      </c>
      <c r="W59" s="6">
        <v>225.8</v>
      </c>
      <c r="X59" s="6"/>
      <c r="Y59" s="6"/>
      <c r="Z59" s="6"/>
      <c r="AA59" s="6">
        <v>223.6</v>
      </c>
      <c r="AB59" s="6">
        <v>453.5</v>
      </c>
      <c r="AC59" s="6">
        <v>602.08290859900001</v>
      </c>
      <c r="AD59" s="4"/>
    </row>
    <row r="61" spans="1:30" x14ac:dyDescent="0.25">
      <c r="B61" t="s">
        <v>46</v>
      </c>
      <c r="G61" s="4">
        <v>317.05</v>
      </c>
      <c r="H61" s="4">
        <v>344.9</v>
      </c>
      <c r="I61" s="4">
        <v>359.35</v>
      </c>
      <c r="J61" s="4">
        <v>351.15</v>
      </c>
      <c r="K61" s="4">
        <v>357.25</v>
      </c>
      <c r="L61" s="4">
        <v>379.9</v>
      </c>
      <c r="M61" s="4">
        <v>392.6</v>
      </c>
      <c r="N61" s="4">
        <v>390.8</v>
      </c>
      <c r="O61" s="4">
        <v>405.3</v>
      </c>
      <c r="P61" s="4">
        <v>431.25</v>
      </c>
      <c r="Q61" s="4">
        <v>454</v>
      </c>
      <c r="R61" s="4">
        <v>517</v>
      </c>
      <c r="S61" s="4">
        <v>595</v>
      </c>
      <c r="T61" s="4">
        <v>638</v>
      </c>
      <c r="U61" s="4">
        <v>825</v>
      </c>
      <c r="V61" s="4">
        <v>1233</v>
      </c>
      <c r="W61" s="4">
        <v>1610</v>
      </c>
    </row>
    <row r="62" spans="1:30" x14ac:dyDescent="0.25">
      <c r="B62" t="s">
        <v>47</v>
      </c>
      <c r="G62" s="4">
        <v>48.9</v>
      </c>
      <c r="H62" s="4">
        <v>46.699999999999996</v>
      </c>
      <c r="I62" s="4">
        <v>52.75</v>
      </c>
      <c r="J62" s="4">
        <v>60.6</v>
      </c>
      <c r="K62" s="4">
        <v>62.45</v>
      </c>
      <c r="L62" s="4">
        <v>61.4</v>
      </c>
      <c r="M62" s="4">
        <v>68.849999999999994</v>
      </c>
      <c r="N62" s="4">
        <v>76.814999999999998</v>
      </c>
      <c r="O62" s="4">
        <v>90.814999999999998</v>
      </c>
      <c r="P62" s="4">
        <v>110.4</v>
      </c>
      <c r="Q62" s="4">
        <f>+Q63-Q61</f>
        <v>119</v>
      </c>
      <c r="R62" s="4">
        <v>137</v>
      </c>
      <c r="S62" s="4">
        <v>149</v>
      </c>
      <c r="T62" s="4">
        <v>156</v>
      </c>
      <c r="U62" s="4">
        <v>167</v>
      </c>
      <c r="V62" s="4">
        <f>-1233+1490</f>
        <v>257</v>
      </c>
      <c r="W62" s="4">
        <f>W63-W61</f>
        <v>277</v>
      </c>
    </row>
    <row r="63" spans="1:30" x14ac:dyDescent="0.25">
      <c r="B63" s="3" t="s">
        <v>26</v>
      </c>
      <c r="G63" s="15">
        <f>G61+G62</f>
        <v>365.95</v>
      </c>
      <c r="H63" s="15">
        <f t="shared" ref="H63:P63" si="29">H61+H62</f>
        <v>391.59999999999997</v>
      </c>
      <c r="I63" s="15">
        <f t="shared" si="29"/>
        <v>412.1</v>
      </c>
      <c r="J63" s="15">
        <f t="shared" si="29"/>
        <v>411.75</v>
      </c>
      <c r="K63" s="15">
        <f t="shared" si="29"/>
        <v>419.7</v>
      </c>
      <c r="L63" s="15">
        <f t="shared" si="29"/>
        <v>441.29999999999995</v>
      </c>
      <c r="M63" s="15">
        <f t="shared" si="29"/>
        <v>461.45000000000005</v>
      </c>
      <c r="N63" s="15">
        <f t="shared" si="29"/>
        <v>467.61500000000001</v>
      </c>
      <c r="O63" s="15">
        <f t="shared" si="29"/>
        <v>496.11500000000001</v>
      </c>
      <c r="P63" s="15">
        <f t="shared" si="29"/>
        <v>541.65</v>
      </c>
      <c r="Q63" s="15">
        <v>573</v>
      </c>
      <c r="R63" s="15">
        <v>654</v>
      </c>
      <c r="S63" s="15">
        <v>744</v>
      </c>
      <c r="T63" s="15">
        <v>794</v>
      </c>
      <c r="U63" s="15">
        <v>992</v>
      </c>
      <c r="V63" s="15">
        <v>1490</v>
      </c>
      <c r="W63" s="15">
        <v>1887</v>
      </c>
    </row>
    <row r="65" spans="2:29" x14ac:dyDescent="0.25">
      <c r="B65" s="3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X65" s="7"/>
      <c r="Y65" s="7"/>
      <c r="Z65" s="7"/>
      <c r="AA65" s="7"/>
      <c r="AB65" s="7"/>
      <c r="AC65" s="7"/>
    </row>
    <row r="66" spans="2:29" x14ac:dyDescent="0.25">
      <c r="V66" s="4"/>
      <c r="W66" s="4"/>
    </row>
    <row r="67" spans="2:29" x14ac:dyDescent="0.25"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2:29" x14ac:dyDescent="0.25">
      <c r="B68" s="3" t="s">
        <v>48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2:29" x14ac:dyDescent="0.25">
      <c r="B69" t="s">
        <v>49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2:29" x14ac:dyDescent="0.25">
      <c r="B70" s="12" t="s">
        <v>50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2:29" x14ac:dyDescent="0.25">
      <c r="B71" s="13" t="s">
        <v>51</v>
      </c>
    </row>
  </sheetData>
  <phoneticPr fontId="4" type="noConversion"/>
  <hyperlinks>
    <hyperlink ref="B71" r:id="rId1" xr:uid="{8B302222-6422-4E6C-9E47-84020BDCC710}"/>
  </hyperlinks>
  <pageMargins left="0.7" right="0.7" top="0.75" bottom="0.75" header="0.3" footer="0.3"/>
  <pageSetup paperSize="9" orientation="portrait" r:id="rId2"/>
  <ignoredErrors>
    <ignoredError sqref="Z52:AA52" formulaRange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639612a7b3c807be0f7cf865f1727bc4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targetNamespace="http://schemas.microsoft.com/office/2006/metadata/properties" ma:root="true" ma:fieldsID="bfb293d988afd2a0c8c6f4c0a44d8da8" ns1:_="" ns2:_="" ns3:_="" ns4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f80fdb8b-13ef-4f7f-904d-31500032c0f3" xsi:nil="true"/>
  </documentManagement>
</p:properties>
</file>

<file path=customXml/itemProps1.xml><?xml version="1.0" encoding="utf-8"?>
<ds:datastoreItem xmlns:ds="http://schemas.openxmlformats.org/officeDocument/2006/customXml" ds:itemID="{E1BD1BC7-3A3C-4B4E-A3D0-BE5F211946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57E166-F3DB-4D70-9AFE-3C73E0E02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DE5AEB-27FD-47F1-8ADD-16BFA880DC9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80fdb8b-13ef-4f7f-904d-31500032c0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Heath</dc:creator>
  <cp:keywords/>
  <dc:description/>
  <cp:lastModifiedBy>Thomas Heath</cp:lastModifiedBy>
  <cp:revision/>
  <dcterms:created xsi:type="dcterms:W3CDTF">2018-06-13T09:41:32Z</dcterms:created>
  <dcterms:modified xsi:type="dcterms:W3CDTF">2021-04-28T00:10:51Z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</Properties>
</file>